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zhy</author>
  </authors>
  <commentList>
    <comment ref="F49" authorId="0">
      <text>
        <r>
          <rPr>
            <b/>
            <sz val="9"/>
            <rFont val="宋体"/>
            <charset val="134"/>
          </rPr>
          <t>zhy:</t>
        </r>
        <r>
          <rPr>
            <sz val="9"/>
            <rFont val="宋体"/>
            <charset val="134"/>
          </rPr>
          <t xml:space="preserve">
原来为200万，但银行的说明中有20万为2017年10月19日归还</t>
        </r>
      </text>
    </comment>
    <comment ref="F50" authorId="0">
      <text>
        <r>
          <rPr>
            <b/>
            <sz val="9"/>
            <rFont val="宋体"/>
            <charset val="134"/>
          </rPr>
          <t>zhy:</t>
        </r>
        <r>
          <rPr>
            <sz val="9"/>
            <rFont val="宋体"/>
            <charset val="134"/>
          </rPr>
          <t xml:space="preserve">
有100万在2018.8.1之前还了</t>
        </r>
      </text>
    </comment>
    <comment ref="F51" authorId="0">
      <text>
        <r>
          <rPr>
            <b/>
            <sz val="9"/>
            <rFont val="宋体"/>
            <charset val="134"/>
          </rPr>
          <t>zhy:</t>
        </r>
        <r>
          <rPr>
            <sz val="9"/>
            <rFont val="宋体"/>
            <charset val="134"/>
          </rPr>
          <t xml:space="preserve">
有30万在18年7月就归还了</t>
        </r>
      </text>
    </comment>
    <comment ref="Q135" authorId="0">
      <text>
        <r>
          <rPr>
            <b/>
            <sz val="9"/>
            <rFont val="宋体"/>
            <charset val="134"/>
          </rPr>
          <t>zhy:</t>
        </r>
        <r>
          <rPr>
            <sz val="9"/>
            <rFont val="宋体"/>
            <charset val="134"/>
          </rPr>
          <t xml:space="preserve">
这个数据变了，我30号算的时候少加了0.28</t>
        </r>
      </text>
    </comment>
    <comment ref="N176" authorId="0">
      <text>
        <r>
          <rPr>
            <b/>
            <sz val="9"/>
            <rFont val="宋体"/>
            <charset val="134"/>
          </rPr>
          <t>zhy:</t>
        </r>
        <r>
          <rPr>
            <sz val="9"/>
            <rFont val="宋体"/>
            <charset val="134"/>
          </rPr>
          <t xml:space="preserve">
原来为57.65，正大的申请表中总的为70.473426（16.97+11.41+7.10+34.97）</t>
        </r>
      </text>
    </comment>
    <comment ref="O182" authorId="0">
      <text>
        <r>
          <rPr>
            <b/>
            <sz val="9"/>
            <rFont val="宋体"/>
            <charset val="134"/>
          </rPr>
          <t>zhy:</t>
        </r>
        <r>
          <rPr>
            <sz val="9"/>
            <rFont val="宋体"/>
            <charset val="134"/>
          </rPr>
          <t xml:space="preserve">
为了平衡四舍五入，将这总合计减少了0.003
</t>
        </r>
      </text>
    </comment>
  </commentList>
</comments>
</file>

<file path=xl/sharedStrings.xml><?xml version="1.0" encoding="utf-8"?>
<sst xmlns="http://schemas.openxmlformats.org/spreadsheetml/2006/main" count="784" uniqueCount="516">
  <si>
    <t>附件</t>
  </si>
  <si>
    <r>
      <rPr>
        <sz val="12"/>
        <color theme="1"/>
        <rFont val="宋体"/>
        <charset val="134"/>
        <scheme val="minor"/>
      </rPr>
      <t xml:space="preserve">                  </t>
    </r>
    <r>
      <rPr>
        <b/>
        <sz val="16"/>
        <color theme="1"/>
        <rFont val="宋体"/>
        <charset val="134"/>
        <scheme val="minor"/>
      </rPr>
      <t xml:space="preserve">2018年8月1日至2019年7月31日生猪生产流动资金贷款、付息及贴息申请表 </t>
    </r>
    <r>
      <rPr>
        <sz val="16"/>
        <color theme="1"/>
        <rFont val="宋体"/>
        <charset val="134"/>
        <scheme val="minor"/>
      </rPr>
      <t xml:space="preserve"> </t>
    </r>
    <r>
      <rPr>
        <sz val="14"/>
        <color theme="1"/>
        <rFont val="宋体"/>
        <charset val="134"/>
        <scheme val="minor"/>
      </rPr>
      <t xml:space="preserve">    </t>
    </r>
    <r>
      <rPr>
        <sz val="12"/>
        <color theme="1"/>
        <rFont val="宋体"/>
        <charset val="134"/>
        <scheme val="minor"/>
      </rPr>
      <t xml:space="preserve">             单位：万元</t>
    </r>
  </si>
  <si>
    <t>地区</t>
  </si>
  <si>
    <t>序号</t>
  </si>
  <si>
    <t>养殖场名称</t>
  </si>
  <si>
    <t>贷款银行</t>
  </si>
  <si>
    <t>贷款金额</t>
  </si>
  <si>
    <t>核定贷款金额</t>
  </si>
  <si>
    <t>实际贷款期限</t>
  </si>
  <si>
    <t>核定实际贷款期限</t>
  </si>
  <si>
    <t>核定计息贷款期限</t>
  </si>
  <si>
    <t>核定计息贷款起息日</t>
  </si>
  <si>
    <t>核定计息贷款截止日</t>
  </si>
  <si>
    <t>天数</t>
  </si>
  <si>
    <t>已享受财政贴息金额</t>
  </si>
  <si>
    <t>申请贴息金额</t>
  </si>
  <si>
    <t>文件贴息金额</t>
  </si>
  <si>
    <t>核定贴息金额</t>
  </si>
  <si>
    <t>申请贴息金额与文件贴息金额差异</t>
  </si>
  <si>
    <t>申请贴息金额与核定贴息金额</t>
  </si>
  <si>
    <t>备注</t>
  </si>
  <si>
    <t>用途</t>
  </si>
  <si>
    <r>
      <rPr>
        <sz val="11"/>
        <color theme="1"/>
        <rFont val="宋体"/>
        <charset val="134"/>
      </rPr>
      <t>贵阳</t>
    </r>
  </si>
  <si>
    <r>
      <rPr>
        <sz val="11"/>
        <color theme="1"/>
        <rFont val="宋体"/>
        <charset val="134"/>
      </rPr>
      <t>贵阳市白云小桥良种场</t>
    </r>
  </si>
  <si>
    <r>
      <rPr>
        <sz val="11"/>
        <color theme="1"/>
        <rFont val="宋体"/>
        <charset val="134"/>
      </rPr>
      <t>贵阳农村商业银行车辆厂支行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</si>
  <si>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</si>
  <si>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</si>
  <si>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</si>
  <si>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t>偿还筑农商（车辆厂支行）2015年流贷字01002号流动资金借款合同和筑农商（车辆厂支行）2017年展贷字01001号借款展期协议项下借款人所欠。银行补充证明为购买饲料。</t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</si>
  <si>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</si>
  <si>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</t>
    </r>
  </si>
  <si>
    <t>采购饲料、兽药、种猪等</t>
  </si>
  <si>
    <r>
      <rPr>
        <sz val="11"/>
        <color theme="1"/>
        <rFont val="宋体"/>
        <charset val="134"/>
      </rPr>
      <t>贵阳银行营业部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</si>
  <si>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</si>
  <si>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日</t>
    </r>
  </si>
  <si>
    <t>未能提供银行证明</t>
  </si>
  <si>
    <t>购货</t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</si>
  <si>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</si>
  <si>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</si>
  <si>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</si>
  <si>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t>用于补充流动资金</t>
  </si>
  <si>
    <r>
      <rPr>
        <sz val="11"/>
        <color theme="1"/>
        <rFont val="宋体"/>
        <charset val="134"/>
      </rPr>
      <t>小计</t>
    </r>
  </si>
  <si>
    <r>
      <rPr>
        <sz val="11"/>
        <color theme="1"/>
        <rFont val="宋体"/>
        <charset val="134"/>
      </rPr>
      <t>贵阳富之源农业科技有限公司</t>
    </r>
  </si>
  <si>
    <r>
      <rPr>
        <sz val="11"/>
        <color theme="1"/>
        <rFont val="宋体"/>
        <charset val="134"/>
      </rPr>
      <t>贵阳银行白云支行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</si>
  <si>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</si>
  <si>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</si>
  <si>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</si>
  <si>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t>购原材料</t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</si>
  <si>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</si>
  <si>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</si>
  <si>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</si>
  <si>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</si>
  <si>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</si>
  <si>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</si>
  <si>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贵阳富之源农业发展有限公司</t>
    </r>
  </si>
  <si>
    <r>
      <rPr>
        <sz val="11"/>
        <color theme="1"/>
        <rFont val="宋体"/>
        <charset val="134"/>
      </rPr>
      <t>邮政银行贵阳分行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</si>
  <si>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</si>
  <si>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</si>
  <si>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</si>
  <si>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t>支付应付账款</t>
  </si>
  <si>
    <r>
      <rPr>
        <sz val="11"/>
        <color theme="1"/>
        <rFont val="宋体"/>
        <charset val="134"/>
      </rPr>
      <t>贵阳台农种养殖有限公司</t>
    </r>
  </si>
  <si>
    <r>
      <rPr>
        <sz val="11"/>
        <color theme="1"/>
        <rFont val="宋体"/>
        <charset val="134"/>
      </rPr>
      <t>贵阳银行开阳支行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</si>
  <si>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</si>
  <si>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</si>
  <si>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日</t>
    </r>
  </si>
  <si>
    <t>无用途，补充的银行证明为购买饲料。</t>
  </si>
  <si>
    <r>
      <rPr>
        <sz val="11"/>
        <color theme="1"/>
        <rFont val="宋体"/>
        <charset val="134"/>
      </rPr>
      <t>四川天府银行贵阳分行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</si>
  <si>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</si>
  <si>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</si>
  <si>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日</t>
    </r>
  </si>
  <si>
    <t>采购原材料</t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</si>
  <si>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</si>
  <si>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</si>
  <si>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</si>
  <si>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</si>
  <si>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</si>
  <si>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</si>
  <si>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</si>
  <si>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</si>
  <si>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</si>
  <si>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</si>
  <si>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t>支付购买生产饲料的原材料款、药瓶款、疫苗等款项</t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</si>
  <si>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</si>
  <si>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</si>
  <si>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t>采购饲料</t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</si>
  <si>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</si>
  <si>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</si>
  <si>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</si>
  <si>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</si>
  <si>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</si>
  <si>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</si>
  <si>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</si>
  <si>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</si>
  <si>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农业银行贵阳云岩支行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</si>
  <si>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</si>
  <si>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</si>
  <si>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t>经营周转</t>
  </si>
  <si>
    <r>
      <rPr>
        <sz val="11"/>
        <color theme="1"/>
        <rFont val="宋体"/>
        <charset val="134"/>
      </rPr>
      <t>贵阳合计</t>
    </r>
  </si>
  <si>
    <r>
      <rPr>
        <sz val="11"/>
        <color theme="1"/>
        <rFont val="宋体"/>
        <charset val="134"/>
      </rPr>
      <t>遵义</t>
    </r>
  </si>
  <si>
    <r>
      <rPr>
        <sz val="11"/>
        <color theme="1"/>
        <rFont val="宋体"/>
        <charset val="134"/>
      </rPr>
      <t>正安县黔安农牧发展有限公司</t>
    </r>
  </si>
  <si>
    <r>
      <rPr>
        <sz val="11"/>
        <color theme="1"/>
        <rFont val="宋体"/>
        <charset val="134"/>
      </rPr>
      <t>贵阳银行正安支行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</si>
  <si>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</t>
    </r>
  </si>
  <si>
    <t>补充流动资金</t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</si>
  <si>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</si>
  <si>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</si>
  <si>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正安先城关信用社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</si>
  <si>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日</t>
    </r>
  </si>
  <si>
    <t>购买饲料、兽药及疫苗</t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</si>
  <si>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</si>
  <si>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</si>
  <si>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</si>
  <si>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</si>
  <si>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</si>
  <si>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</si>
  <si>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遵义市万富农业有限责任公司</t>
    </r>
  </si>
  <si>
    <r>
      <rPr>
        <sz val="11"/>
        <color theme="1"/>
        <rFont val="宋体"/>
        <charset val="134"/>
      </rPr>
      <t>遵义汇川农村商业银行董公市支行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</si>
  <si>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</si>
  <si>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宋体"/>
        <charset val="134"/>
      </rPr>
      <t>日</t>
    </r>
  </si>
  <si>
    <t>未在征信报告上体现，已补充银行证明。</t>
  </si>
  <si>
    <t>购饲料</t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</si>
  <si>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</si>
  <si>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</si>
  <si>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</si>
  <si>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</si>
  <si>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宋体"/>
        <charset val="134"/>
      </rPr>
      <t>日</t>
    </r>
  </si>
  <si>
    <t>支付饲料款</t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</si>
  <si>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</si>
  <si>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</si>
  <si>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</si>
  <si>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</si>
  <si>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</si>
  <si>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</si>
  <si>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道真仡佬族苗族自治县忠情牧业有限公司</t>
    </r>
  </si>
  <si>
    <r>
      <rPr>
        <sz val="11"/>
        <color theme="1"/>
        <rFont val="宋体"/>
        <charset val="134"/>
      </rPr>
      <t>道真中银富登村镇银行有限公司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</si>
  <si>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</si>
  <si>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</si>
  <si>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</si>
  <si>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t>借据无期限</t>
  </si>
  <si>
    <t>流动资金、置换银行贷款，银行证明为流动资金。</t>
  </si>
  <si>
    <r>
      <rPr>
        <sz val="11"/>
        <color theme="1"/>
        <rFont val="宋体"/>
        <charset val="134"/>
      </rPr>
      <t>遵义合计</t>
    </r>
  </si>
  <si>
    <t>安顺</t>
  </si>
  <si>
    <r>
      <rPr>
        <sz val="11"/>
        <color theme="1"/>
        <rFont val="宋体"/>
        <charset val="134"/>
      </rPr>
      <t>贵州安顺新越现代科技种养殖有限公司</t>
    </r>
  </si>
  <si>
    <r>
      <rPr>
        <sz val="11"/>
        <color theme="1"/>
        <rFont val="宋体"/>
        <charset val="134"/>
      </rPr>
      <t>安顺农商银行新场支行</t>
    </r>
  </si>
  <si>
    <r>
      <rPr>
        <sz val="11"/>
        <color theme="1"/>
        <rFont val="Times New Roman"/>
        <charset val="134"/>
      </rPr>
      <t>2016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</si>
  <si>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2016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</t>
    </r>
  </si>
  <si>
    <t>购买饲料及其他生产费用</t>
  </si>
  <si>
    <t>贵州黔农农业科技有限公司</t>
  </si>
  <si>
    <r>
      <rPr>
        <sz val="11"/>
        <color theme="1"/>
        <rFont val="宋体"/>
        <charset val="134"/>
      </rPr>
      <t>安顺农村商业银行股份有限公司</t>
    </r>
  </si>
  <si>
    <r>
      <rPr>
        <sz val="11"/>
        <color theme="1"/>
        <rFont val="Times New Roman"/>
        <charset val="134"/>
      </rPr>
      <t>2016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</si>
  <si>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2016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日</t>
    </r>
  </si>
  <si>
    <t>购买生猪及饲料</t>
  </si>
  <si>
    <r>
      <rPr>
        <sz val="11"/>
        <color theme="1"/>
        <rFont val="宋体"/>
        <charset val="134"/>
      </rPr>
      <t>贵州银行安顺分行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</si>
  <si>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</si>
  <si>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</si>
  <si>
    <t>购买猪仔、饲料及蔬菜种植物资金等经营周转</t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</si>
  <si>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</si>
  <si>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</si>
  <si>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</si>
  <si>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</si>
  <si>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工商银行安顺分行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</si>
  <si>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日</t>
    </r>
  </si>
  <si>
    <t>购买原材料</t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</si>
  <si>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</si>
  <si>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宋体"/>
        <charset val="134"/>
      </rPr>
      <t>日</t>
    </r>
  </si>
  <si>
    <t>用于经营周转</t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</si>
  <si>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</si>
  <si>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</si>
  <si>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普定县联合兴旺农业发展有限公司</t>
    </r>
  </si>
  <si>
    <r>
      <rPr>
        <sz val="11"/>
        <color theme="1"/>
        <rFont val="宋体"/>
        <charset val="134"/>
      </rPr>
      <t>贵阳银行普定支行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</si>
  <si>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</si>
  <si>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</si>
  <si>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</si>
  <si>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0"/>
        <color theme="1"/>
        <rFont val="宋体"/>
        <charset val="134"/>
      </rPr>
      <t>其中有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万元合同及银行证明均为场地装修</t>
    </r>
  </si>
  <si>
    <t>150万购饲料、50万场地装修</t>
  </si>
  <si>
    <r>
      <rPr>
        <sz val="11"/>
        <color theme="1"/>
        <rFont val="宋体"/>
        <charset val="134"/>
      </rPr>
      <t>安顺合计</t>
    </r>
  </si>
  <si>
    <r>
      <rPr>
        <sz val="11"/>
        <color theme="1"/>
        <rFont val="宋体"/>
        <charset val="134"/>
      </rPr>
      <t>六盘水</t>
    </r>
  </si>
  <si>
    <r>
      <rPr>
        <sz val="11"/>
        <color theme="1"/>
        <rFont val="宋体"/>
        <charset val="134"/>
      </rPr>
      <t>六盘水大丰农牧发展有限公司</t>
    </r>
  </si>
  <si>
    <r>
      <rPr>
        <sz val="11"/>
        <color theme="1"/>
        <rFont val="宋体"/>
        <charset val="134"/>
      </rPr>
      <t>六盘水农村商业银行股份有限公司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</si>
  <si>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</si>
  <si>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</t>
    </r>
  </si>
  <si>
    <t>购买猪饲料</t>
  </si>
  <si>
    <r>
      <rPr>
        <sz val="11"/>
        <color theme="1"/>
        <rFont val="宋体"/>
        <charset val="134"/>
      </rPr>
      <t>六盘水合计</t>
    </r>
  </si>
  <si>
    <t>黔南州</t>
  </si>
  <si>
    <t>贵州都匀市黔昌畜牧发展有限责任公司</t>
  </si>
  <si>
    <r>
      <rPr>
        <sz val="11"/>
        <color theme="1"/>
        <rFont val="宋体"/>
        <charset val="134"/>
      </rPr>
      <t>都匀农商行营业部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</si>
  <si>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</si>
  <si>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</si>
  <si>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日</t>
    </r>
  </si>
  <si>
    <t>种猪采购</t>
  </si>
  <si>
    <r>
      <rPr>
        <sz val="11"/>
        <rFont val="Times New Roman"/>
        <charset val="134"/>
      </rPr>
      <t>2017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日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日</t>
    </r>
  </si>
  <si>
    <r>
      <rPr>
        <sz val="11"/>
        <rFont val="Times New Roman"/>
        <charset val="134"/>
      </rPr>
      <t>2017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日至</t>
    </r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</si>
  <si>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日</t>
    </r>
  </si>
  <si>
    <t>采购猪饲料</t>
  </si>
  <si>
    <r>
      <rPr>
        <sz val="11"/>
        <rFont val="Times New Roman"/>
        <charset val="134"/>
      </rPr>
      <t>2017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日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日</t>
    </r>
  </si>
  <si>
    <r>
      <rPr>
        <sz val="11"/>
        <rFont val="Times New Roman"/>
        <charset val="134"/>
      </rPr>
      <t>2017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日至</t>
    </r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</si>
  <si>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</si>
  <si>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</si>
  <si>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</si>
  <si>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</si>
  <si>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</si>
  <si>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</si>
  <si>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</si>
  <si>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</si>
  <si>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都匀市鸿跃牧业有限公司</t>
    </r>
  </si>
  <si>
    <r>
      <rPr>
        <sz val="11"/>
        <color theme="1"/>
        <rFont val="宋体"/>
        <charset val="134"/>
      </rPr>
      <t>都匀农商行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</si>
  <si>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宋体"/>
        <charset val="134"/>
      </rPr>
      <t>日</t>
    </r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</si>
  <si>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日至</t>
    </r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</si>
  <si>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日</t>
    </r>
  </si>
  <si>
    <t>采购猪苗及饲料</t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</si>
  <si>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</si>
  <si>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</si>
  <si>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贵定县佳阳发展投资有限公司</t>
    </r>
  </si>
  <si>
    <r>
      <rPr>
        <sz val="11"/>
        <color theme="1"/>
        <rFont val="宋体"/>
        <charset val="134"/>
      </rPr>
      <t>贵定县农村信用合作联社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</si>
  <si>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</si>
  <si>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</si>
  <si>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</si>
  <si>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t>购买饲料</t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</si>
  <si>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</si>
  <si>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</si>
  <si>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贵定恒升村镇银行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</si>
  <si>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</si>
  <si>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</si>
  <si>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</si>
  <si>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0"/>
        <color theme="1"/>
        <rFont val="Times New Roman"/>
        <charset val="134"/>
      </rPr>
      <t>155</t>
    </r>
    <r>
      <rPr>
        <sz val="10"/>
        <color theme="1"/>
        <rFont val="宋体"/>
        <charset val="134"/>
      </rPr>
      <t>万元只有贷款合同，无借据，未在征信报告上体现，已补银行证明。</t>
    </r>
  </si>
  <si>
    <t>购买猪</t>
  </si>
  <si>
    <r>
      <rPr>
        <sz val="11"/>
        <color theme="1"/>
        <rFont val="宋体"/>
        <charset val="134"/>
      </rPr>
      <t>贵定县农村信用合作联社营业部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</si>
  <si>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</si>
  <si>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日至</t>
    </r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</si>
  <si>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</si>
  <si>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t>借款合同系固定资产贷款。</t>
  </si>
  <si>
    <t>建设贵定县标准化生态猪养殖农场项目</t>
  </si>
  <si>
    <t>贵州日泉农牧有限公司</t>
  </si>
  <si>
    <r>
      <rPr>
        <sz val="11"/>
        <color theme="1"/>
        <rFont val="宋体"/>
        <charset val="134"/>
      </rPr>
      <t>贵阳银行独山支行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</si>
  <si>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</si>
  <si>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</si>
  <si>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</si>
  <si>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t>借款合同系固定资产贷款</t>
  </si>
  <si>
    <t>支付猪场建设的未付款项</t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</si>
  <si>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</si>
  <si>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</si>
  <si>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t>采购饲料原料、药品等</t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</si>
  <si>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</si>
  <si>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</si>
  <si>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</si>
  <si>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</si>
  <si>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日</t>
    </r>
  </si>
  <si>
    <t>征信报告上未体现，贷款单位为苏州牧丰农牧科技有限公司</t>
  </si>
  <si>
    <t>支付工资、安装费、材料设备款、钢结构加工费</t>
  </si>
  <si>
    <t>福泉市益昌农牧有限公司</t>
  </si>
  <si>
    <r>
      <rPr>
        <sz val="11"/>
        <color theme="1"/>
        <rFont val="宋体"/>
        <charset val="134"/>
      </rPr>
      <t>福泉市农村商业银行城厢支行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</si>
  <si>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</si>
  <si>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</si>
  <si>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日</t>
    </r>
  </si>
  <si>
    <t>购买猪和饲料</t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</si>
  <si>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</si>
  <si>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</si>
  <si>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</si>
  <si>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</si>
  <si>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</si>
  <si>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</si>
  <si>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</si>
  <si>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</si>
  <si>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</si>
  <si>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日</t>
    </r>
  </si>
  <si>
    <t>购买生猪</t>
  </si>
  <si>
    <r>
      <rPr>
        <sz val="11"/>
        <color theme="1"/>
        <rFont val="宋体"/>
        <charset val="134"/>
      </rPr>
      <t>贵州科普园科技有限公司</t>
    </r>
  </si>
  <si>
    <r>
      <rPr>
        <sz val="11"/>
        <color theme="1"/>
        <rFont val="宋体"/>
        <charset val="134"/>
      </rPr>
      <t>福泉市农村商业银行陆坪支行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</si>
  <si>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</si>
  <si>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</si>
  <si>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t>生猪养殖资金周转</t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</si>
  <si>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</si>
  <si>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</si>
  <si>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</si>
  <si>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t>购买生猪饲料</t>
  </si>
  <si>
    <r>
      <rPr>
        <sz val="11"/>
        <color theme="1"/>
        <rFont val="宋体"/>
        <charset val="134"/>
      </rPr>
      <t>黔南州合计</t>
    </r>
  </si>
  <si>
    <t>铜仁</t>
  </si>
  <si>
    <r>
      <rPr>
        <sz val="11"/>
        <color theme="1"/>
        <rFont val="宋体"/>
        <charset val="134"/>
      </rPr>
      <t>石阡县恒兴牧业养殖场</t>
    </r>
  </si>
  <si>
    <r>
      <rPr>
        <sz val="11"/>
        <color theme="1"/>
        <rFont val="宋体"/>
        <charset val="134"/>
      </rPr>
      <t>石阡县农村信用合作联社石固信用社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</si>
  <si>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</si>
  <si>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日</t>
    </r>
  </si>
  <si>
    <t>生猪养殖、销售</t>
  </si>
  <si>
    <r>
      <rPr>
        <sz val="11"/>
        <color theme="1"/>
        <rFont val="宋体"/>
        <charset val="134"/>
      </rPr>
      <t>石阡县河坝场乡顺兴养殖场农民专业合作社</t>
    </r>
  </si>
  <si>
    <r>
      <rPr>
        <sz val="11"/>
        <color theme="1"/>
        <rFont val="宋体"/>
        <charset val="134"/>
      </rPr>
      <t>石阡县河坝镇农村信用合作联社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</si>
  <si>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</si>
  <si>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</t>
    </r>
  </si>
  <si>
    <t>生猪养殖</t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</si>
  <si>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</si>
  <si>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贵州康正畜牧科技有限公司</t>
    </r>
  </si>
  <si>
    <r>
      <rPr>
        <sz val="11"/>
        <color theme="1"/>
        <rFont val="宋体"/>
        <charset val="134"/>
      </rPr>
      <t>工商银行松桃支行</t>
    </r>
  </si>
  <si>
    <r>
      <rPr>
        <sz val="11"/>
        <color theme="1"/>
        <rFont val="Times New Roman"/>
        <charset val="134"/>
      </rPr>
      <t>2016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</si>
  <si>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2016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</t>
    </r>
  </si>
  <si>
    <t>未在征信报告上体现，已补充银行证明</t>
  </si>
  <si>
    <t>借款展期协议880万元无用途、借据用途购原材料。</t>
  </si>
  <si>
    <r>
      <rPr>
        <sz val="11"/>
        <color theme="1"/>
        <rFont val="宋体"/>
        <charset val="134"/>
      </rPr>
      <t>建设银行铜仁市分行</t>
    </r>
  </si>
  <si>
    <r>
      <rPr>
        <sz val="11"/>
        <color theme="1"/>
        <rFont val="Times New Roman"/>
        <charset val="134"/>
      </rPr>
      <t>2014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</si>
  <si>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</si>
  <si>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日</t>
    </r>
  </si>
  <si>
    <r>
      <rPr>
        <sz val="10"/>
        <color theme="1"/>
        <rFont val="宋体"/>
        <charset val="134"/>
      </rPr>
      <t>征信报告上体现为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万元。</t>
    </r>
  </si>
  <si>
    <t>合同为500万元、贷款证明为种猪采购、饲料采购。</t>
  </si>
  <si>
    <r>
      <rPr>
        <sz val="11"/>
        <color theme="1"/>
        <rFont val="宋体"/>
        <charset val="134"/>
      </rPr>
      <t>邮政银行铜仁市分行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</si>
  <si>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</si>
  <si>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</t>
    </r>
  </si>
  <si>
    <t>合同500万元，采购种猪、饲料及兽药。</t>
  </si>
  <si>
    <r>
      <rPr>
        <sz val="11"/>
        <color theme="1"/>
        <rFont val="宋体"/>
        <charset val="134"/>
      </rPr>
      <t>松桃信用合作联社九龙湖信用社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</si>
  <si>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</si>
  <si>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</si>
  <si>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</si>
  <si>
    <t>采购种猪及饲料</t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</si>
  <si>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</si>
  <si>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</si>
  <si>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</si>
  <si>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</si>
  <si>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</si>
  <si>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</si>
  <si>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松桃梵净桃源农牧发展有限公司</t>
    </r>
  </si>
  <si>
    <r>
      <rPr>
        <sz val="11"/>
        <color theme="1"/>
        <rFont val="宋体"/>
        <charset val="134"/>
      </rPr>
      <t>松桃长征村镇银行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</si>
  <si>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</si>
  <si>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</si>
  <si>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</si>
  <si>
    <t>购买原料、回收种猪，银行证明为购买种猪和饲料。</t>
  </si>
  <si>
    <r>
      <rPr>
        <sz val="11"/>
        <color theme="1"/>
        <rFont val="宋体"/>
        <charset val="134"/>
      </rPr>
      <t>贵阳银行松桃支行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</si>
  <si>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</si>
  <si>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</t>
    </r>
  </si>
  <si>
    <t>支付货款，银行证明为购买种猪和饲料。</t>
  </si>
  <si>
    <r>
      <rPr>
        <sz val="11"/>
        <color theme="1"/>
        <rFont val="宋体"/>
        <charset val="134"/>
      </rPr>
      <t>松桃农村信用社九龙湖信用社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</si>
  <si>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</t>
    </r>
  </si>
  <si>
    <t>借据购买肥料及农药，银行证明为购买种猪和饲料。</t>
  </si>
  <si>
    <r>
      <rPr>
        <sz val="11"/>
        <color theme="1"/>
        <rFont val="宋体"/>
        <charset val="134"/>
      </rPr>
      <t>铜仁合计</t>
    </r>
  </si>
  <si>
    <t>黔东南</t>
  </si>
  <si>
    <r>
      <rPr>
        <sz val="11"/>
        <color theme="1"/>
        <rFont val="宋体"/>
        <charset val="134"/>
      </rPr>
      <t>凯里市宏大良种猪繁殖场</t>
    </r>
  </si>
  <si>
    <r>
      <rPr>
        <sz val="11"/>
        <color theme="1"/>
        <rFont val="宋体"/>
        <charset val="134"/>
      </rPr>
      <t>中国农业银行股份有限公司凯里金泉支行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</si>
  <si>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</si>
  <si>
    <r>
      <rPr>
        <sz val="11"/>
        <rFont val="Times New Roman"/>
        <charset val="134"/>
      </rPr>
      <t>2017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日至</t>
    </r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日</t>
    </r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</si>
  <si>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日至</t>
    </r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</si>
  <si>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</si>
  <si>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日至</t>
    </r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</si>
  <si>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</si>
  <si>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</si>
  <si>
    <t>采购饲料、兽药等</t>
  </si>
  <si>
    <r>
      <rPr>
        <sz val="11"/>
        <color theme="1"/>
        <rFont val="宋体"/>
        <charset val="134"/>
      </rPr>
      <t>丹寨县绿宝科技有限公司</t>
    </r>
  </si>
  <si>
    <r>
      <rPr>
        <sz val="11"/>
        <color theme="1"/>
        <rFont val="宋体"/>
        <charset val="134"/>
      </rPr>
      <t>贵阳银行股份有限公司丹寨支行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</si>
  <si>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</si>
  <si>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</si>
  <si>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</si>
  <si>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0"/>
        <color theme="1"/>
        <rFont val="宋体"/>
        <charset val="134"/>
      </rPr>
      <t>贷款单位为丹寨县绿宝种养科技有限公司，于</t>
    </r>
    <r>
      <rPr>
        <sz val="10"/>
        <color theme="1"/>
        <rFont val="Times New Roman"/>
        <charset val="134"/>
      </rPr>
      <t>2019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13</t>
    </r>
    <r>
      <rPr>
        <sz val="10"/>
        <color theme="1"/>
        <rFont val="宋体"/>
        <charset val="134"/>
      </rPr>
      <t>日变更。</t>
    </r>
  </si>
  <si>
    <t>购买饲料等</t>
  </si>
  <si>
    <r>
      <rPr>
        <sz val="11"/>
        <color theme="1"/>
        <rFont val="宋体"/>
        <charset val="134"/>
      </rPr>
      <t>贵州优匹克生态农业发展有限公司</t>
    </r>
  </si>
  <si>
    <r>
      <rPr>
        <sz val="11"/>
        <color theme="1"/>
        <rFont val="宋体"/>
        <charset val="134"/>
      </rPr>
      <t>施秉县农村信用合作联社杉木河分社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</si>
  <si>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</si>
  <si>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日至</t>
    </r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日</t>
    </r>
  </si>
  <si>
    <t>采购猪仔</t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</si>
  <si>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</si>
  <si>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</si>
  <si>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</si>
  <si>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t>购买种猪及仔猪（续贷）</t>
  </si>
  <si>
    <r>
      <rPr>
        <sz val="11"/>
        <color theme="1"/>
        <rFont val="宋体"/>
        <charset val="134"/>
      </rPr>
      <t>贵阳银行股份有限公司施秉支行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</si>
  <si>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日</t>
    </r>
  </si>
  <si>
    <t>购买种猪、仔猪和饲料,贷款436.80万元中有200万为施秉县白洗猪高效扶贫示范基地建设项目</t>
  </si>
  <si>
    <r>
      <rPr>
        <sz val="11"/>
        <color theme="1"/>
        <rFont val="宋体"/>
        <charset val="134"/>
      </rPr>
      <t>贵州从江粤黔香猪开发有限公司</t>
    </r>
  </si>
  <si>
    <r>
      <rPr>
        <sz val="11"/>
        <color theme="1"/>
        <rFont val="宋体"/>
        <charset val="134"/>
      </rPr>
      <t>从江县农村信用合作联社</t>
    </r>
  </si>
  <si>
    <r>
      <rPr>
        <sz val="11"/>
        <color theme="1"/>
        <rFont val="Times New Roman"/>
        <charset val="134"/>
      </rPr>
      <t>2014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</si>
  <si>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</t>
    </r>
  </si>
  <si>
    <t>系固定资产借款合同，未在征信报告上体现。</t>
  </si>
  <si>
    <t>基础设施建设及购买设备</t>
  </si>
  <si>
    <r>
      <rPr>
        <sz val="11"/>
        <color theme="1"/>
        <rFont val="宋体"/>
        <charset val="134"/>
      </rPr>
      <t>贵州福德源牧业科技发展有限公司</t>
    </r>
  </si>
  <si>
    <r>
      <rPr>
        <sz val="11"/>
        <color theme="1"/>
        <rFont val="宋体"/>
        <charset val="134"/>
      </rPr>
      <t>锦屏县农村信用合作联社敦寨信用社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</si>
  <si>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</si>
  <si>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</t>
    </r>
  </si>
  <si>
    <t>经营流动资金</t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</si>
  <si>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</si>
  <si>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</si>
  <si>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贵州思府农牧有限公司</t>
    </r>
  </si>
  <si>
    <r>
      <rPr>
        <sz val="11"/>
        <color theme="1"/>
        <rFont val="宋体"/>
        <charset val="134"/>
      </rPr>
      <t>岑巩县农村信用合作联社营业部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</si>
  <si>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</si>
  <si>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</si>
  <si>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</si>
  <si>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t>购买生态饲料</t>
  </si>
  <si>
    <r>
      <rPr>
        <sz val="11"/>
        <color theme="1"/>
        <rFont val="宋体"/>
        <charset val="134"/>
      </rPr>
      <t>贵州七环现代农业发展有限公司</t>
    </r>
  </si>
  <si>
    <r>
      <rPr>
        <sz val="11"/>
        <color theme="1"/>
        <rFont val="宋体"/>
        <charset val="134"/>
      </rPr>
      <t>贵州黄平农村商业银行股份有限公司飞云支行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</si>
  <si>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日</t>
    </r>
  </si>
  <si>
    <t>购种猪</t>
  </si>
  <si>
    <t>种猪委培购进、基础设施建设、设备采购</t>
  </si>
  <si>
    <t>工程及设备资金</t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</si>
  <si>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</si>
  <si>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</si>
  <si>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t>购买玉米</t>
  </si>
  <si>
    <r>
      <rPr>
        <sz val="11"/>
        <rFont val="宋体"/>
        <charset val="134"/>
      </rPr>
      <t>剑河县明皇生态农业发展有限公司</t>
    </r>
  </si>
  <si>
    <r>
      <rPr>
        <sz val="11"/>
        <rFont val="宋体"/>
        <charset val="134"/>
      </rPr>
      <t>剑河县农村信用合作联社城关分社</t>
    </r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</si>
  <si>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日至</t>
    </r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</t>
    </r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</si>
  <si>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日至</t>
    </r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29</t>
    </r>
    <r>
      <rPr>
        <sz val="11"/>
        <rFont val="宋体"/>
        <charset val="134"/>
      </rPr>
      <t>日</t>
    </r>
  </si>
  <si>
    <t>《剑河县白香猪产业循环农业示范园区》项目资金</t>
  </si>
  <si>
    <r>
      <rPr>
        <sz val="11"/>
        <color theme="1"/>
        <rFont val="宋体"/>
        <charset val="134"/>
      </rPr>
      <t>贵州剑河苗寨香猪科技有限公司</t>
    </r>
  </si>
  <si>
    <r>
      <rPr>
        <sz val="11"/>
        <color theme="1"/>
        <rFont val="宋体"/>
        <charset val="134"/>
      </rPr>
      <t>人保资本投资管理有限公司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</si>
  <si>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</si>
  <si>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</si>
  <si>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</si>
  <si>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t>申请贴息金额计算错误</t>
  </si>
  <si>
    <t>麻栗养殖场流动资金补充，主要用于购买猪种和饲料。</t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</si>
  <si>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</si>
  <si>
    <t>东南养殖场流动资金补充，主要用于购买猪种和饲料。</t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</si>
  <si>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</si>
  <si>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</si>
  <si>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日</t>
    </r>
  </si>
  <si>
    <t>购买种猪、饲料</t>
  </si>
  <si>
    <r>
      <rPr>
        <sz val="11"/>
        <color theme="1"/>
        <rFont val="宋体"/>
        <charset val="134"/>
      </rPr>
      <t>贵州兴邦生态农业发展有限公司</t>
    </r>
  </si>
  <si>
    <r>
      <rPr>
        <sz val="11"/>
        <color theme="1"/>
        <rFont val="宋体"/>
        <charset val="134"/>
      </rPr>
      <t>贵阳银行股份有限公司黎平支行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</si>
  <si>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</si>
  <si>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</si>
  <si>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中国邮政储蓄银行股份有限公司黎平县支行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</si>
  <si>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</si>
  <si>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t>借款合同为本公司，但借据为李群杰。未在征信报告上体现，已补充银行证明。</t>
  </si>
  <si>
    <t>订购猪饲料</t>
  </si>
  <si>
    <r>
      <rPr>
        <sz val="11"/>
        <color theme="1"/>
        <rFont val="宋体"/>
        <charset val="134"/>
      </rPr>
      <t>贵州省台江县星兴生猪养殖有限责任公司</t>
    </r>
  </si>
  <si>
    <r>
      <rPr>
        <sz val="11"/>
        <color theme="1"/>
        <rFont val="宋体"/>
        <charset val="134"/>
      </rPr>
      <t>贵州银行股份有限公司台江支行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</si>
  <si>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</si>
  <si>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</si>
  <si>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t>购种猪、能繁母猪及饲料等</t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</si>
  <si>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</si>
  <si>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</si>
  <si>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</si>
  <si>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台江县农村信用合作联社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</si>
  <si>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日</t>
    </r>
  </si>
  <si>
    <t>流动资金贷款（购买种猪及饲料)</t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</si>
  <si>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</si>
  <si>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</si>
  <si>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t>流动资金（购买饲料）</t>
  </si>
  <si>
    <r>
      <rPr>
        <sz val="11"/>
        <color theme="1"/>
        <rFont val="宋体"/>
        <charset val="134"/>
      </rPr>
      <t>贵州恒利农业发展有限公司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</si>
  <si>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</si>
  <si>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黔东南合计</t>
    </r>
  </si>
  <si>
    <t>黔西南</t>
  </si>
  <si>
    <r>
      <rPr>
        <sz val="11"/>
        <color theme="1"/>
        <rFont val="宋体"/>
        <charset val="134"/>
      </rPr>
      <t>贞丰富之源农业发展有限公司</t>
    </r>
  </si>
  <si>
    <r>
      <rPr>
        <sz val="11"/>
        <color theme="1"/>
        <rFont val="宋体"/>
        <charset val="134"/>
      </rPr>
      <t>贵阳银行股份有限公司兴义分行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</si>
  <si>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</si>
  <si>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</si>
  <si>
    <t>种猪基地建设及流动资金，银行证明为饲料采购。</t>
  </si>
  <si>
    <t>银行证明为种猪、猪苗、饲料采购。</t>
  </si>
  <si>
    <r>
      <rPr>
        <sz val="11"/>
        <color theme="1"/>
        <rFont val="宋体"/>
        <charset val="134"/>
      </rPr>
      <t>贵州现代生态农业发展有限公司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</si>
  <si>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</si>
  <si>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</si>
  <si>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</si>
  <si>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</si>
  <si>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贵州省兴义市鸿鑫农业发展有限责任公司</t>
    </r>
  </si>
  <si>
    <r>
      <rPr>
        <sz val="11"/>
        <color theme="1"/>
        <rFont val="宋体"/>
        <charset val="134"/>
      </rPr>
      <t>兴义万丰村镇银行</t>
    </r>
  </si>
  <si>
    <r>
      <rPr>
        <sz val="11"/>
        <color theme="1"/>
        <rFont val="Times New Roman"/>
        <charset val="134"/>
      </rPr>
      <t>2016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</si>
  <si>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2016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</si>
  <si>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</t>
    </r>
  </si>
  <si>
    <t>购买商品猪和饲料</t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</si>
  <si>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</si>
  <si>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日</t>
    </r>
  </si>
  <si>
    <t>支付饲料款及购买商品猪</t>
  </si>
  <si>
    <r>
      <rPr>
        <sz val="11"/>
        <color theme="1"/>
        <rFont val="宋体"/>
        <charset val="134"/>
      </rPr>
      <t>中国光大银行股份有限公司厦门分行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</si>
  <si>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</si>
  <si>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</t>
    </r>
  </si>
  <si>
    <t>支付货款，银行证明为购买饲料。</t>
  </si>
  <si>
    <r>
      <rPr>
        <sz val="11"/>
        <color theme="1"/>
        <rFont val="宋体"/>
        <charset val="134"/>
      </rPr>
      <t>贵州兴义农村商业银行股份有限公司蓝天小微支行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</si>
  <si>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日</t>
    </r>
  </si>
  <si>
    <t>经营流动资金周转，银行证明为生猪饲料款</t>
  </si>
  <si>
    <r>
      <rPr>
        <sz val="11"/>
        <color theme="1"/>
        <rFont val="宋体"/>
        <charset val="134"/>
      </rPr>
      <t>兴义市益群养殖有限公司</t>
    </r>
  </si>
  <si>
    <r>
      <rPr>
        <sz val="11"/>
        <color theme="1"/>
        <rFont val="Times New Roman"/>
        <charset val="134"/>
      </rPr>
      <t>2016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日</t>
    </r>
  </si>
  <si>
    <t>生产经营</t>
  </si>
  <si>
    <r>
      <rPr>
        <sz val="11"/>
        <color theme="1"/>
        <rFont val="宋体"/>
        <charset val="134"/>
      </rPr>
      <t>兴义万峰村镇银行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</si>
  <si>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</si>
  <si>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</si>
  <si>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t>用于结清兴义万丰村镇银行有限责任公司（营业部）（合同编号为2017年营企流字第8-0003号）已有贷款，经查合同用途为进购猪饲料。</t>
  </si>
  <si>
    <r>
      <rPr>
        <sz val="11"/>
        <color theme="1"/>
        <rFont val="宋体"/>
        <charset val="134"/>
      </rPr>
      <t>黔西南合计</t>
    </r>
  </si>
  <si>
    <t>毕节</t>
  </si>
  <si>
    <r>
      <rPr>
        <sz val="11"/>
        <color theme="1"/>
        <rFont val="宋体"/>
        <charset val="134"/>
      </rPr>
      <t>毕节市汇兴畜牧养殖有限公司</t>
    </r>
  </si>
  <si>
    <r>
      <rPr>
        <sz val="11"/>
        <color theme="1"/>
        <rFont val="宋体"/>
        <charset val="134"/>
      </rPr>
      <t>毕节发展村镇银行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</si>
  <si>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</si>
  <si>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</si>
  <si>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t>进购饲料</t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</si>
  <si>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</si>
  <si>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</si>
  <si>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</si>
  <si>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中国邮政银行储蓄银行毕节市分行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</si>
  <si>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</si>
  <si>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</si>
  <si>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</si>
  <si>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七星关区层台镇斯栗牲畜养殖专业合作社</t>
    </r>
  </si>
  <si>
    <r>
      <rPr>
        <sz val="11"/>
        <color theme="1"/>
        <rFont val="宋体"/>
        <charset val="134"/>
      </rPr>
      <t>农村商业银行股份有限公司层台支行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</si>
  <si>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</si>
  <si>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22</t>
    </r>
  </si>
  <si>
    <t>采购饲料及种猪</t>
  </si>
  <si>
    <r>
      <rPr>
        <sz val="11"/>
        <color theme="1"/>
        <rFont val="宋体"/>
        <charset val="134"/>
      </rPr>
      <t>贵州黔西金田农牧科技发展有限公司</t>
    </r>
  </si>
  <si>
    <r>
      <rPr>
        <sz val="11"/>
        <color theme="1"/>
        <rFont val="宋体"/>
        <charset val="134"/>
      </rPr>
      <t>黔西农村商业银行股份有限公司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</si>
  <si>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</si>
  <si>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</si>
  <si>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</si>
  <si>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t>固定资产借款合同。</t>
  </si>
  <si>
    <t>黔西县雨朵镇宋和平养殖场改扩建</t>
  </si>
  <si>
    <r>
      <rPr>
        <sz val="11"/>
        <color theme="1"/>
        <rFont val="宋体"/>
        <charset val="134"/>
      </rPr>
      <t>赫章县仁达农业综合开发有限责任公司</t>
    </r>
  </si>
  <si>
    <r>
      <rPr>
        <sz val="11"/>
        <color theme="1"/>
        <rFont val="宋体"/>
        <charset val="134"/>
      </rPr>
      <t>贵州省农村信用社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</si>
  <si>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</si>
  <si>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</si>
  <si>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</si>
  <si>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</si>
  <si>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贵州正大农牧食品有限公司</t>
    </r>
  </si>
  <si>
    <r>
      <rPr>
        <sz val="11"/>
        <color theme="1"/>
        <rFont val="宋体"/>
        <charset val="134"/>
      </rPr>
      <t>贵阳银行股份有限公司金沙支行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</si>
  <si>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</si>
  <si>
    <t>支付公司生产经营中所需的饲料、药品疫苗、代养费用以及日常经营所需的流动资金公司日常经营所需流动资金</t>
  </si>
  <si>
    <r>
      <rPr>
        <sz val="11"/>
        <color theme="1"/>
        <rFont val="宋体"/>
        <charset val="134"/>
      </rPr>
      <t>贵阳银行金沙支行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</si>
  <si>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</si>
  <si>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</si>
  <si>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日</t>
    </r>
  </si>
  <si>
    <t>支付公司生产经营中所需的饲料、药品疫苗、代养费用以及日常经营所需的流动资金</t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</si>
  <si>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</si>
  <si>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</si>
  <si>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</si>
  <si>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</si>
  <si>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贵州牧野农业产业发展有限公司</t>
    </r>
  </si>
  <si>
    <r>
      <rPr>
        <sz val="11"/>
        <color theme="1"/>
        <rFont val="宋体"/>
        <charset val="134"/>
      </rPr>
      <t>贵阳银行织金支行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</si>
  <si>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</si>
  <si>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</t>
    </r>
  </si>
  <si>
    <t>购买饲料及日常经营周转</t>
  </si>
  <si>
    <r>
      <rPr>
        <sz val="11"/>
        <color theme="1"/>
        <rFont val="宋体"/>
        <charset val="134"/>
      </rPr>
      <t>毕节合计</t>
    </r>
  </si>
  <si>
    <r>
      <rPr>
        <sz val="11"/>
        <color theme="1"/>
        <rFont val="宋体"/>
        <charset val="134"/>
      </rPr>
      <t>总计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</si>
</sst>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.000000_ "/>
    <numFmt numFmtId="178" formatCode="yyyy&quot;年&quot;m&quot;月&quot;d&quot;日&quot;;@"/>
    <numFmt numFmtId="179" formatCode="0.00_ "/>
    <numFmt numFmtId="180" formatCode="#,##0.0000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22" borderId="13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179" fontId="7" fillId="0" borderId="4" xfId="0" applyNumberFormat="1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176" fontId="4" fillId="0" borderId="3" xfId="8" applyNumberFormat="1" applyFont="1" applyFill="1" applyBorder="1" applyAlignment="1">
      <alignment horizontal="center" vertical="center" wrapText="1"/>
    </xf>
    <xf numFmtId="177" fontId="7" fillId="0" borderId="3" xfId="8" applyNumberFormat="1" applyFont="1" applyFill="1" applyBorder="1" applyAlignment="1">
      <alignment horizontal="center" vertical="center" wrapText="1"/>
    </xf>
    <xf numFmtId="176" fontId="4" fillId="0" borderId="4" xfId="8" applyNumberFormat="1" applyFont="1" applyFill="1" applyBorder="1" applyAlignment="1">
      <alignment horizontal="center" vertical="center" wrapText="1"/>
    </xf>
    <xf numFmtId="177" fontId="7" fillId="0" borderId="4" xfId="8" applyNumberFormat="1" applyFont="1" applyFill="1" applyBorder="1" applyAlignment="1">
      <alignment horizontal="center" vertical="center" wrapText="1"/>
    </xf>
    <xf numFmtId="176" fontId="4" fillId="0" borderId="5" xfId="8" applyNumberFormat="1" applyFont="1" applyFill="1" applyBorder="1" applyAlignment="1">
      <alignment horizontal="center" vertical="center" wrapText="1"/>
    </xf>
    <xf numFmtId="177" fontId="7" fillId="0" borderId="5" xfId="8" applyNumberFormat="1" applyFont="1" applyFill="1" applyBorder="1" applyAlignment="1">
      <alignment horizontal="center" vertical="center" wrapText="1"/>
    </xf>
    <xf numFmtId="176" fontId="4" fillId="0" borderId="2" xfId="8" applyNumberFormat="1" applyFont="1" applyFill="1" applyBorder="1" applyAlignment="1">
      <alignment horizontal="center" vertical="center" wrapText="1"/>
    </xf>
    <xf numFmtId="177" fontId="7" fillId="0" borderId="2" xfId="8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179" fontId="12" fillId="0" borderId="2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176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31" fontId="5" fillId="0" borderId="2" xfId="0" applyNumberFormat="1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right" vertical="center" wrapText="1"/>
    </xf>
    <xf numFmtId="179" fontId="7" fillId="0" borderId="5" xfId="0" applyNumberFormat="1" applyFont="1" applyFill="1" applyBorder="1" applyAlignment="1">
      <alignment horizontal="right" vertical="center" wrapText="1"/>
    </xf>
    <xf numFmtId="179" fontId="7" fillId="0" borderId="5" xfId="0" applyNumberFormat="1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3"/>
  <sheetViews>
    <sheetView tabSelected="1" workbookViewId="0">
      <selection activeCell="A1" sqref="A1"/>
    </sheetView>
  </sheetViews>
  <sheetFormatPr defaultColWidth="9" defaultRowHeight="13.5"/>
  <cols>
    <col min="10" max="11" width="14.5"/>
    <col min="16" max="16" width="10.125"/>
  </cols>
  <sheetData>
    <row r="1" spans="1:1">
      <c r="A1" t="s">
        <v>0</v>
      </c>
    </row>
    <row r="2" ht="14.25" spans="1:2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3"/>
      <c r="Q2" s="1"/>
      <c r="R2" s="32"/>
      <c r="S2" s="32"/>
      <c r="T2" s="1"/>
      <c r="U2" s="33"/>
    </row>
    <row r="3" ht="71.25" spans="1:21">
      <c r="A3" s="2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4" t="s">
        <v>14</v>
      </c>
      <c r="N3" s="4" t="s">
        <v>15</v>
      </c>
      <c r="O3" s="4" t="s">
        <v>16</v>
      </c>
      <c r="P3" s="24"/>
      <c r="Q3" s="4" t="s">
        <v>17</v>
      </c>
      <c r="R3" s="34" t="s">
        <v>18</v>
      </c>
      <c r="S3" s="34" t="s">
        <v>19</v>
      </c>
      <c r="T3" s="3" t="s">
        <v>20</v>
      </c>
      <c r="U3" s="2" t="s">
        <v>21</v>
      </c>
    </row>
    <row r="4" ht="299.25" spans="1:21">
      <c r="A4" s="5" t="s">
        <v>22</v>
      </c>
      <c r="B4" s="6">
        <v>1</v>
      </c>
      <c r="C4" s="7" t="s">
        <v>23</v>
      </c>
      <c r="D4" s="6" t="s">
        <v>24</v>
      </c>
      <c r="E4" s="8">
        <v>450</v>
      </c>
      <c r="F4" s="8">
        <f>E4</f>
        <v>450</v>
      </c>
      <c r="G4" s="9" t="s">
        <v>25</v>
      </c>
      <c r="H4" s="9" t="s">
        <v>26</v>
      </c>
      <c r="I4" s="9" t="s">
        <v>27</v>
      </c>
      <c r="J4" s="18">
        <v>43313</v>
      </c>
      <c r="K4" s="18">
        <v>43677</v>
      </c>
      <c r="L4" s="6">
        <f>K4-J4-4</f>
        <v>360</v>
      </c>
      <c r="M4" s="15">
        <v>0</v>
      </c>
      <c r="N4" s="15">
        <v>8.98</v>
      </c>
      <c r="O4" s="15">
        <v>18.91</v>
      </c>
      <c r="P4" s="25"/>
      <c r="Q4" s="35">
        <f t="shared" ref="Q4:Q7" si="0">F4*4.35/100*0.459*L4/360</f>
        <v>8.984925</v>
      </c>
      <c r="R4" s="36">
        <f>O4-N8</f>
        <v>0</v>
      </c>
      <c r="S4" s="37">
        <f t="shared" ref="S4:S7" si="1">N4-Q4</f>
        <v>-0.00492500000000007</v>
      </c>
      <c r="T4" s="38"/>
      <c r="U4" s="39" t="s">
        <v>28</v>
      </c>
    </row>
    <row r="5" ht="60" spans="1:21">
      <c r="A5" s="10"/>
      <c r="B5" s="6"/>
      <c r="C5" s="7"/>
      <c r="D5" s="6" t="s">
        <v>24</v>
      </c>
      <c r="E5" s="8">
        <v>349.5</v>
      </c>
      <c r="F5" s="8">
        <v>349</v>
      </c>
      <c r="G5" s="9" t="s">
        <v>29</v>
      </c>
      <c r="H5" s="9" t="s">
        <v>30</v>
      </c>
      <c r="I5" s="9" t="s">
        <v>27</v>
      </c>
      <c r="J5" s="18">
        <v>43313</v>
      </c>
      <c r="K5" s="18">
        <v>43677</v>
      </c>
      <c r="L5" s="6">
        <v>360</v>
      </c>
      <c r="M5" s="15">
        <v>0</v>
      </c>
      <c r="N5" s="15">
        <v>6.98</v>
      </c>
      <c r="O5" s="15"/>
      <c r="P5" s="25"/>
      <c r="Q5" s="35">
        <f t="shared" si="0"/>
        <v>6.9683085</v>
      </c>
      <c r="R5" s="40"/>
      <c r="S5" s="41"/>
      <c r="T5" s="38"/>
      <c r="U5" s="42" t="s">
        <v>31</v>
      </c>
    </row>
    <row r="6" ht="60" spans="1:21">
      <c r="A6" s="10"/>
      <c r="B6" s="6"/>
      <c r="C6" s="7"/>
      <c r="D6" s="6" t="s">
        <v>32</v>
      </c>
      <c r="E6" s="8">
        <v>200</v>
      </c>
      <c r="F6" s="8">
        <v>0</v>
      </c>
      <c r="G6" s="9" t="s">
        <v>33</v>
      </c>
      <c r="H6" s="9" t="s">
        <v>34</v>
      </c>
      <c r="I6" s="9" t="s">
        <v>34</v>
      </c>
      <c r="J6" s="18">
        <v>43313</v>
      </c>
      <c r="K6" s="18">
        <v>43592</v>
      </c>
      <c r="L6" s="6">
        <f t="shared" ref="L6:L11" si="2">K6-J6</f>
        <v>279</v>
      </c>
      <c r="M6" s="15">
        <v>0</v>
      </c>
      <c r="N6" s="15">
        <v>2.17</v>
      </c>
      <c r="O6" s="15"/>
      <c r="P6" s="25"/>
      <c r="Q6" s="35">
        <f t="shared" si="0"/>
        <v>0</v>
      </c>
      <c r="R6" s="40"/>
      <c r="S6" s="37">
        <f t="shared" si="1"/>
        <v>2.17</v>
      </c>
      <c r="T6" s="43" t="s">
        <v>35</v>
      </c>
      <c r="U6" s="44" t="s">
        <v>36</v>
      </c>
    </row>
    <row r="7" ht="60" spans="1:21">
      <c r="A7" s="10"/>
      <c r="B7" s="6"/>
      <c r="C7" s="7"/>
      <c r="D7" s="6" t="s">
        <v>32</v>
      </c>
      <c r="E7" s="8">
        <v>200</v>
      </c>
      <c r="F7" s="8">
        <v>0</v>
      </c>
      <c r="G7" s="9" t="s">
        <v>37</v>
      </c>
      <c r="H7" s="9" t="s">
        <v>38</v>
      </c>
      <c r="I7" s="9" t="s">
        <v>39</v>
      </c>
      <c r="J7" s="18">
        <v>43595</v>
      </c>
      <c r="K7" s="18">
        <v>43677</v>
      </c>
      <c r="L7" s="6">
        <f t="shared" si="2"/>
        <v>82</v>
      </c>
      <c r="M7" s="15">
        <v>0</v>
      </c>
      <c r="N7" s="15">
        <v>0.78</v>
      </c>
      <c r="O7" s="15"/>
      <c r="P7" s="25"/>
      <c r="Q7" s="35">
        <f t="shared" si="0"/>
        <v>0</v>
      </c>
      <c r="R7" s="41"/>
      <c r="S7" s="37">
        <f t="shared" si="1"/>
        <v>0.78</v>
      </c>
      <c r="T7" s="43" t="s">
        <v>35</v>
      </c>
      <c r="U7" s="44" t="s">
        <v>40</v>
      </c>
    </row>
    <row r="8" ht="15.75" spans="1:21">
      <c r="A8" s="10"/>
      <c r="B8" s="6"/>
      <c r="C8" s="7" t="s">
        <v>41</v>
      </c>
      <c r="D8" s="6"/>
      <c r="E8" s="8">
        <f>SUM(E4:E7)</f>
        <v>1199.5</v>
      </c>
      <c r="F8" s="8">
        <f>SUM(F4:F7)</f>
        <v>799</v>
      </c>
      <c r="G8" s="9"/>
      <c r="H8" s="9"/>
      <c r="I8" s="9"/>
      <c r="J8" s="9"/>
      <c r="K8" s="9"/>
      <c r="L8" s="6">
        <f t="shared" ref="L8:O8" si="3">SUM(L4:L7)</f>
        <v>1081</v>
      </c>
      <c r="M8" s="15">
        <f t="shared" si="3"/>
        <v>0</v>
      </c>
      <c r="N8" s="15">
        <f t="shared" si="3"/>
        <v>18.91</v>
      </c>
      <c r="O8" s="15">
        <f t="shared" si="3"/>
        <v>18.91</v>
      </c>
      <c r="P8" s="25"/>
      <c r="Q8" s="35">
        <f>SUM(Q4:Q7)</f>
        <v>15.9532335</v>
      </c>
      <c r="R8" s="37">
        <f t="shared" ref="R8:R13" si="4">O8-N8</f>
        <v>0</v>
      </c>
      <c r="S8" s="37">
        <f t="shared" ref="S8:S13" si="5">Q8-N8</f>
        <v>-2.9567665</v>
      </c>
      <c r="T8" s="38"/>
      <c r="U8" s="44"/>
    </row>
    <row r="9" ht="45" spans="1:21">
      <c r="A9" s="10"/>
      <c r="B9" s="6">
        <v>2</v>
      </c>
      <c r="C9" s="7" t="s">
        <v>42</v>
      </c>
      <c r="D9" s="6" t="s">
        <v>43</v>
      </c>
      <c r="E9" s="8">
        <v>500</v>
      </c>
      <c r="F9" s="8">
        <f t="shared" ref="F9:F11" si="6">E9</f>
        <v>500</v>
      </c>
      <c r="G9" s="9" t="s">
        <v>44</v>
      </c>
      <c r="H9" s="9" t="s">
        <v>45</v>
      </c>
      <c r="I9" s="9" t="s">
        <v>46</v>
      </c>
      <c r="J9" s="18">
        <v>43347</v>
      </c>
      <c r="K9" s="18">
        <v>43677</v>
      </c>
      <c r="L9" s="6">
        <f t="shared" si="2"/>
        <v>330</v>
      </c>
      <c r="M9" s="15">
        <v>0</v>
      </c>
      <c r="N9" s="15">
        <v>27.406</v>
      </c>
      <c r="O9" s="15">
        <v>27.406</v>
      </c>
      <c r="P9" s="25"/>
      <c r="Q9" s="35">
        <f t="shared" ref="Q9:Q11" si="7">F9*4.35/100*0.459*L9/360</f>
        <v>9.1513125</v>
      </c>
      <c r="R9" s="37"/>
      <c r="S9" s="37"/>
      <c r="T9" s="38"/>
      <c r="U9" s="45" t="s">
        <v>47</v>
      </c>
    </row>
    <row r="10" ht="60" spans="1:21">
      <c r="A10" s="10"/>
      <c r="B10" s="6"/>
      <c r="C10" s="7"/>
      <c r="D10" s="6" t="s">
        <v>43</v>
      </c>
      <c r="E10" s="8">
        <v>500</v>
      </c>
      <c r="F10" s="8">
        <f t="shared" si="6"/>
        <v>500</v>
      </c>
      <c r="G10" s="9" t="s">
        <v>48</v>
      </c>
      <c r="H10" s="9" t="s">
        <v>49</v>
      </c>
      <c r="I10" s="9" t="s">
        <v>50</v>
      </c>
      <c r="J10" s="18">
        <v>43495</v>
      </c>
      <c r="K10" s="18">
        <v>43677</v>
      </c>
      <c r="L10" s="6">
        <f t="shared" si="2"/>
        <v>182</v>
      </c>
      <c r="M10" s="15">
        <v>0</v>
      </c>
      <c r="N10" s="15"/>
      <c r="O10" s="15"/>
      <c r="P10" s="25"/>
      <c r="Q10" s="35">
        <f t="shared" si="7"/>
        <v>5.0470875</v>
      </c>
      <c r="R10" s="37"/>
      <c r="S10" s="37"/>
      <c r="T10" s="38"/>
      <c r="U10" s="46"/>
    </row>
    <row r="11" ht="60" spans="1:21">
      <c r="A11" s="10"/>
      <c r="B11" s="6"/>
      <c r="C11" s="7"/>
      <c r="D11" s="6" t="s">
        <v>43</v>
      </c>
      <c r="E11" s="8">
        <v>500</v>
      </c>
      <c r="F11" s="8">
        <f t="shared" si="6"/>
        <v>500</v>
      </c>
      <c r="G11" s="9" t="s">
        <v>51</v>
      </c>
      <c r="H11" s="9" t="s">
        <v>52</v>
      </c>
      <c r="I11" s="9" t="s">
        <v>53</v>
      </c>
      <c r="J11" s="18">
        <v>43514</v>
      </c>
      <c r="K11" s="18">
        <v>43677</v>
      </c>
      <c r="L11" s="6">
        <f t="shared" si="2"/>
        <v>163</v>
      </c>
      <c r="M11" s="15">
        <v>0</v>
      </c>
      <c r="N11" s="15"/>
      <c r="O11" s="15"/>
      <c r="P11" s="25"/>
      <c r="Q11" s="35">
        <f t="shared" si="7"/>
        <v>4.52019375</v>
      </c>
      <c r="R11" s="37"/>
      <c r="S11" s="37"/>
      <c r="T11" s="38"/>
      <c r="U11" s="42"/>
    </row>
    <row r="12" ht="15.75" spans="1:21">
      <c r="A12" s="10"/>
      <c r="B12" s="6"/>
      <c r="C12" s="7" t="s">
        <v>41</v>
      </c>
      <c r="D12" s="6"/>
      <c r="E12" s="8">
        <f>SUM(E9:E11)</f>
        <v>1500</v>
      </c>
      <c r="F12" s="8">
        <f>SUM(F9:F11)</f>
        <v>1500</v>
      </c>
      <c r="G12" s="9"/>
      <c r="H12" s="9"/>
      <c r="I12" s="9"/>
      <c r="J12" s="9"/>
      <c r="K12" s="9"/>
      <c r="L12" s="6">
        <f t="shared" ref="L12:O12" si="8">SUM(L9:L11)</f>
        <v>675</v>
      </c>
      <c r="M12" s="15">
        <f t="shared" si="8"/>
        <v>0</v>
      </c>
      <c r="N12" s="15">
        <f t="shared" si="8"/>
        <v>27.406</v>
      </c>
      <c r="O12" s="15">
        <f t="shared" si="8"/>
        <v>27.406</v>
      </c>
      <c r="P12" s="25"/>
      <c r="Q12" s="35">
        <f>SUM(Q9:Q11)</f>
        <v>18.71859375</v>
      </c>
      <c r="R12" s="37">
        <f t="shared" si="4"/>
        <v>0</v>
      </c>
      <c r="S12" s="37">
        <f t="shared" si="5"/>
        <v>-8.68740625</v>
      </c>
      <c r="T12" s="38"/>
      <c r="U12" s="44"/>
    </row>
    <row r="13" ht="60" spans="1:21">
      <c r="A13" s="10"/>
      <c r="B13" s="6">
        <v>3</v>
      </c>
      <c r="C13" s="7" t="s">
        <v>54</v>
      </c>
      <c r="D13" s="6" t="s">
        <v>55</v>
      </c>
      <c r="E13" s="8">
        <v>500</v>
      </c>
      <c r="F13" s="8">
        <f t="shared" ref="F13:F22" si="9">E13</f>
        <v>500</v>
      </c>
      <c r="G13" s="9" t="s">
        <v>56</v>
      </c>
      <c r="H13" s="9" t="s">
        <v>57</v>
      </c>
      <c r="I13" s="9" t="s">
        <v>58</v>
      </c>
      <c r="J13" s="18">
        <v>43340</v>
      </c>
      <c r="K13" s="18">
        <v>43677</v>
      </c>
      <c r="L13" s="6">
        <f t="shared" ref="L13:L25" si="10">K13-J13</f>
        <v>337</v>
      </c>
      <c r="M13" s="15">
        <v>0</v>
      </c>
      <c r="N13" s="15">
        <v>9.1353</v>
      </c>
      <c r="O13" s="15">
        <v>9.1353</v>
      </c>
      <c r="P13" s="25"/>
      <c r="Q13" s="35">
        <f t="shared" ref="Q13:Q25" si="11">F13*4.35/100*0.459*L13/360</f>
        <v>9.34543125</v>
      </c>
      <c r="R13" s="37">
        <f t="shared" si="4"/>
        <v>0</v>
      </c>
      <c r="S13" s="37">
        <f t="shared" si="5"/>
        <v>0.21013125</v>
      </c>
      <c r="T13" s="38"/>
      <c r="U13" s="44" t="s">
        <v>59</v>
      </c>
    </row>
    <row r="14" ht="71.25" spans="1:21">
      <c r="A14" s="10"/>
      <c r="B14" s="5">
        <v>4</v>
      </c>
      <c r="C14" s="5" t="s">
        <v>60</v>
      </c>
      <c r="D14" s="6" t="s">
        <v>61</v>
      </c>
      <c r="E14" s="8">
        <v>499</v>
      </c>
      <c r="F14" s="8">
        <f t="shared" si="9"/>
        <v>499</v>
      </c>
      <c r="G14" s="9" t="s">
        <v>62</v>
      </c>
      <c r="H14" s="9" t="s">
        <v>63</v>
      </c>
      <c r="I14" s="9" t="s">
        <v>64</v>
      </c>
      <c r="J14" s="26">
        <v>43313</v>
      </c>
      <c r="K14" s="26">
        <v>43445</v>
      </c>
      <c r="L14" s="6">
        <f t="shared" si="10"/>
        <v>132</v>
      </c>
      <c r="M14" s="15">
        <v>0</v>
      </c>
      <c r="N14" s="15">
        <v>3.9</v>
      </c>
      <c r="O14" s="16">
        <v>76.37</v>
      </c>
      <c r="P14" s="25"/>
      <c r="Q14" s="35">
        <f t="shared" si="11"/>
        <v>3.65320395</v>
      </c>
      <c r="R14" s="37"/>
      <c r="S14" s="37"/>
      <c r="T14" s="38"/>
      <c r="U14" s="44" t="s">
        <v>65</v>
      </c>
    </row>
    <row r="15" ht="60" spans="1:21">
      <c r="A15" s="10"/>
      <c r="B15" s="10"/>
      <c r="C15" s="10"/>
      <c r="D15" s="6" t="s">
        <v>66</v>
      </c>
      <c r="E15" s="8">
        <v>1000</v>
      </c>
      <c r="F15" s="8">
        <f t="shared" si="9"/>
        <v>1000</v>
      </c>
      <c r="G15" s="9" t="s">
        <v>67</v>
      </c>
      <c r="H15" s="9" t="s">
        <v>68</v>
      </c>
      <c r="I15" s="9" t="s">
        <v>69</v>
      </c>
      <c r="J15" s="26">
        <v>43313</v>
      </c>
      <c r="K15" s="26">
        <v>43517</v>
      </c>
      <c r="L15" s="6">
        <f t="shared" si="10"/>
        <v>204</v>
      </c>
      <c r="M15" s="15">
        <v>0</v>
      </c>
      <c r="N15" s="15">
        <v>11.14</v>
      </c>
      <c r="O15" s="17"/>
      <c r="P15" s="25"/>
      <c r="Q15" s="35">
        <f t="shared" si="11"/>
        <v>11.31435</v>
      </c>
      <c r="R15" s="37"/>
      <c r="S15" s="37"/>
      <c r="T15" s="38"/>
      <c r="U15" s="44" t="s">
        <v>70</v>
      </c>
    </row>
    <row r="16" ht="45" spans="1:21">
      <c r="A16" s="10"/>
      <c r="B16" s="10"/>
      <c r="C16" s="10"/>
      <c r="D16" s="6" t="s">
        <v>66</v>
      </c>
      <c r="E16" s="8">
        <v>500</v>
      </c>
      <c r="F16" s="8">
        <f t="shared" si="9"/>
        <v>500</v>
      </c>
      <c r="G16" s="9" t="s">
        <v>71</v>
      </c>
      <c r="H16" s="9" t="s">
        <v>72</v>
      </c>
      <c r="I16" s="9" t="s">
        <v>73</v>
      </c>
      <c r="J16" s="26">
        <v>43313</v>
      </c>
      <c r="K16" s="26">
        <v>43518</v>
      </c>
      <c r="L16" s="6">
        <f t="shared" si="10"/>
        <v>205</v>
      </c>
      <c r="M16" s="15">
        <v>0</v>
      </c>
      <c r="N16" s="15">
        <v>5.51</v>
      </c>
      <c r="O16" s="17"/>
      <c r="P16" s="25"/>
      <c r="Q16" s="35">
        <f t="shared" si="11"/>
        <v>5.68490625</v>
      </c>
      <c r="R16" s="37"/>
      <c r="S16" s="37"/>
      <c r="T16" s="38"/>
      <c r="U16" s="44" t="s">
        <v>70</v>
      </c>
    </row>
    <row r="17" ht="45" spans="1:21">
      <c r="A17" s="10"/>
      <c r="B17" s="10"/>
      <c r="C17" s="10"/>
      <c r="D17" s="6" t="s">
        <v>66</v>
      </c>
      <c r="E17" s="8">
        <v>1000</v>
      </c>
      <c r="F17" s="8">
        <f t="shared" si="9"/>
        <v>1000</v>
      </c>
      <c r="G17" s="9" t="s">
        <v>74</v>
      </c>
      <c r="H17" s="9" t="s">
        <v>75</v>
      </c>
      <c r="I17" s="9" t="s">
        <v>75</v>
      </c>
      <c r="J17" s="26">
        <v>43347</v>
      </c>
      <c r="K17" s="26">
        <v>43521</v>
      </c>
      <c r="L17" s="6">
        <f t="shared" si="10"/>
        <v>174</v>
      </c>
      <c r="M17" s="15">
        <v>0</v>
      </c>
      <c r="N17" s="15">
        <v>10.92</v>
      </c>
      <c r="O17" s="17"/>
      <c r="P17" s="25"/>
      <c r="Q17" s="35">
        <f t="shared" si="11"/>
        <v>9.650475</v>
      </c>
      <c r="R17" s="37"/>
      <c r="S17" s="37"/>
      <c r="T17" s="38"/>
      <c r="U17" s="44" t="s">
        <v>70</v>
      </c>
    </row>
    <row r="18" ht="60" spans="1:21">
      <c r="A18" s="10"/>
      <c r="B18" s="10"/>
      <c r="C18" s="10"/>
      <c r="D18" s="6" t="s">
        <v>66</v>
      </c>
      <c r="E18" s="8">
        <v>500</v>
      </c>
      <c r="F18" s="8">
        <f t="shared" si="9"/>
        <v>500</v>
      </c>
      <c r="G18" s="9" t="s">
        <v>76</v>
      </c>
      <c r="H18" s="9" t="s">
        <v>77</v>
      </c>
      <c r="I18" s="9" t="s">
        <v>77</v>
      </c>
      <c r="J18" s="26">
        <v>43370</v>
      </c>
      <c r="K18" s="26">
        <v>43518</v>
      </c>
      <c r="L18" s="6">
        <f t="shared" si="10"/>
        <v>148</v>
      </c>
      <c r="M18" s="15">
        <v>0</v>
      </c>
      <c r="N18" s="15">
        <v>3.99</v>
      </c>
      <c r="O18" s="17"/>
      <c r="P18" s="25"/>
      <c r="Q18" s="35">
        <f t="shared" si="11"/>
        <v>4.104225</v>
      </c>
      <c r="R18" s="37"/>
      <c r="S18" s="37"/>
      <c r="T18" s="38"/>
      <c r="U18" s="44" t="s">
        <v>70</v>
      </c>
    </row>
    <row r="19" ht="85.5" spans="1:21">
      <c r="A19" s="10"/>
      <c r="B19" s="10"/>
      <c r="C19" s="10"/>
      <c r="D19" s="6" t="s">
        <v>61</v>
      </c>
      <c r="E19" s="8">
        <v>499</v>
      </c>
      <c r="F19" s="8">
        <f t="shared" si="9"/>
        <v>499</v>
      </c>
      <c r="G19" s="9" t="s">
        <v>78</v>
      </c>
      <c r="H19" s="9" t="s">
        <v>79</v>
      </c>
      <c r="I19" s="9" t="s">
        <v>80</v>
      </c>
      <c r="J19" s="26">
        <v>43461</v>
      </c>
      <c r="K19" s="26">
        <v>43677</v>
      </c>
      <c r="L19" s="6">
        <f t="shared" si="10"/>
        <v>216</v>
      </c>
      <c r="M19" s="15">
        <v>0</v>
      </c>
      <c r="N19" s="15">
        <v>5.922</v>
      </c>
      <c r="O19" s="17"/>
      <c r="P19" s="25"/>
      <c r="Q19" s="35">
        <f t="shared" si="11"/>
        <v>5.9779701</v>
      </c>
      <c r="R19" s="37"/>
      <c r="S19" s="37"/>
      <c r="T19" s="38"/>
      <c r="U19" s="47" t="s">
        <v>81</v>
      </c>
    </row>
    <row r="20" ht="60" spans="1:21">
      <c r="A20" s="11"/>
      <c r="B20" s="11"/>
      <c r="C20" s="11"/>
      <c r="D20" s="6" t="s">
        <v>66</v>
      </c>
      <c r="E20" s="8">
        <v>1000</v>
      </c>
      <c r="F20" s="8">
        <f t="shared" si="9"/>
        <v>1000</v>
      </c>
      <c r="G20" s="9" t="s">
        <v>82</v>
      </c>
      <c r="H20" s="9" t="s">
        <v>82</v>
      </c>
      <c r="I20" s="9" t="s">
        <v>83</v>
      </c>
      <c r="J20" s="26">
        <v>43515</v>
      </c>
      <c r="K20" s="26">
        <v>43677</v>
      </c>
      <c r="L20" s="6">
        <f t="shared" si="10"/>
        <v>162</v>
      </c>
      <c r="M20" s="15">
        <v>0</v>
      </c>
      <c r="N20" s="15">
        <v>8.92</v>
      </c>
      <c r="O20" s="19"/>
      <c r="P20" s="25"/>
      <c r="Q20" s="35">
        <f t="shared" si="11"/>
        <v>8.984925</v>
      </c>
      <c r="R20" s="37"/>
      <c r="S20" s="37"/>
      <c r="T20" s="38"/>
      <c r="U20" s="44" t="s">
        <v>84</v>
      </c>
    </row>
    <row r="21" ht="60" spans="1:21">
      <c r="A21" s="10" t="s">
        <v>22</v>
      </c>
      <c r="B21" s="10">
        <v>4</v>
      </c>
      <c r="C21" s="10" t="s">
        <v>60</v>
      </c>
      <c r="D21" s="6" t="s">
        <v>66</v>
      </c>
      <c r="E21" s="8">
        <v>1000</v>
      </c>
      <c r="F21" s="8">
        <f t="shared" si="9"/>
        <v>1000</v>
      </c>
      <c r="G21" s="9" t="s">
        <v>85</v>
      </c>
      <c r="H21" s="9" t="s">
        <v>85</v>
      </c>
      <c r="I21" s="9" t="s">
        <v>86</v>
      </c>
      <c r="J21" s="26">
        <v>43518</v>
      </c>
      <c r="K21" s="26">
        <v>43677</v>
      </c>
      <c r="L21" s="6">
        <f t="shared" si="10"/>
        <v>159</v>
      </c>
      <c r="M21" s="15">
        <v>0</v>
      </c>
      <c r="N21" s="15">
        <v>8.76</v>
      </c>
      <c r="O21" s="16"/>
      <c r="P21" s="25"/>
      <c r="Q21" s="35">
        <f t="shared" si="11"/>
        <v>8.8185375</v>
      </c>
      <c r="R21" s="37"/>
      <c r="S21" s="37"/>
      <c r="T21" s="38"/>
      <c r="U21" s="44" t="s">
        <v>84</v>
      </c>
    </row>
    <row r="22" ht="60" spans="1:21">
      <c r="A22" s="10"/>
      <c r="B22" s="10"/>
      <c r="C22" s="10"/>
      <c r="D22" s="6" t="s">
        <v>66</v>
      </c>
      <c r="E22" s="8">
        <v>1000</v>
      </c>
      <c r="F22" s="8">
        <f t="shared" si="9"/>
        <v>1000</v>
      </c>
      <c r="G22" s="9" t="s">
        <v>87</v>
      </c>
      <c r="H22" s="9" t="s">
        <v>87</v>
      </c>
      <c r="I22" s="9" t="s">
        <v>88</v>
      </c>
      <c r="J22" s="26">
        <v>43517</v>
      </c>
      <c r="K22" s="26">
        <v>43677</v>
      </c>
      <c r="L22" s="6">
        <f t="shared" si="10"/>
        <v>160</v>
      </c>
      <c r="M22" s="15">
        <v>0</v>
      </c>
      <c r="N22" s="15">
        <v>8.81</v>
      </c>
      <c r="O22" s="17"/>
      <c r="P22" s="25"/>
      <c r="Q22" s="35">
        <f t="shared" si="11"/>
        <v>8.874</v>
      </c>
      <c r="R22" s="37"/>
      <c r="S22" s="37"/>
      <c r="T22" s="38"/>
      <c r="U22" s="44" t="s">
        <v>84</v>
      </c>
    </row>
    <row r="23" ht="60" spans="1:21">
      <c r="A23" s="10"/>
      <c r="B23" s="10"/>
      <c r="C23" s="10"/>
      <c r="D23" s="6" t="s">
        <v>66</v>
      </c>
      <c r="E23" s="8">
        <v>1000</v>
      </c>
      <c r="F23" s="8">
        <v>500</v>
      </c>
      <c r="G23" s="9" t="s">
        <v>89</v>
      </c>
      <c r="H23" s="9" t="s">
        <v>90</v>
      </c>
      <c r="I23" s="9" t="s">
        <v>90</v>
      </c>
      <c r="J23" s="26">
        <v>43553</v>
      </c>
      <c r="K23" s="26">
        <v>43556</v>
      </c>
      <c r="L23" s="6">
        <f t="shared" si="10"/>
        <v>3</v>
      </c>
      <c r="M23" s="15">
        <v>0</v>
      </c>
      <c r="N23" s="15">
        <v>6.71</v>
      </c>
      <c r="O23" s="17"/>
      <c r="P23" s="25"/>
      <c r="Q23" s="35">
        <f t="shared" si="11"/>
        <v>0.08319375</v>
      </c>
      <c r="R23" s="37"/>
      <c r="S23" s="37"/>
      <c r="T23" s="38"/>
      <c r="U23" s="45" t="s">
        <v>70</v>
      </c>
    </row>
    <row r="24" ht="60" spans="1:21">
      <c r="A24" s="10"/>
      <c r="B24" s="10"/>
      <c r="C24" s="10"/>
      <c r="D24" s="6"/>
      <c r="E24" s="8"/>
      <c r="F24" s="8">
        <v>500</v>
      </c>
      <c r="G24" s="9" t="s">
        <v>89</v>
      </c>
      <c r="H24" s="9" t="s">
        <v>91</v>
      </c>
      <c r="I24" s="9" t="s">
        <v>92</v>
      </c>
      <c r="J24" s="26">
        <v>43553</v>
      </c>
      <c r="K24" s="26">
        <v>43677</v>
      </c>
      <c r="L24" s="6">
        <f t="shared" si="10"/>
        <v>124</v>
      </c>
      <c r="M24" s="15">
        <v>0</v>
      </c>
      <c r="N24" s="15"/>
      <c r="O24" s="17"/>
      <c r="P24" s="25"/>
      <c r="Q24" s="35">
        <f t="shared" si="11"/>
        <v>3.438675</v>
      </c>
      <c r="R24" s="37"/>
      <c r="S24" s="37"/>
      <c r="T24" s="38"/>
      <c r="U24" s="42"/>
    </row>
    <row r="25" ht="60" spans="1:21">
      <c r="A25" s="10"/>
      <c r="B25" s="10"/>
      <c r="C25" s="11"/>
      <c r="D25" s="6" t="s">
        <v>93</v>
      </c>
      <c r="E25" s="8">
        <v>300</v>
      </c>
      <c r="F25" s="8">
        <f>E25</f>
        <v>300</v>
      </c>
      <c r="G25" s="9" t="s">
        <v>94</v>
      </c>
      <c r="H25" s="9" t="s">
        <v>94</v>
      </c>
      <c r="I25" s="9" t="s">
        <v>95</v>
      </c>
      <c r="J25" s="26">
        <v>43567</v>
      </c>
      <c r="K25" s="26">
        <v>43677</v>
      </c>
      <c r="L25" s="6">
        <f t="shared" si="10"/>
        <v>110</v>
      </c>
      <c r="M25" s="15">
        <v>0</v>
      </c>
      <c r="N25" s="15">
        <v>1.79</v>
      </c>
      <c r="O25" s="19"/>
      <c r="P25" s="25"/>
      <c r="Q25" s="35">
        <f t="shared" si="11"/>
        <v>1.8302625</v>
      </c>
      <c r="R25" s="37"/>
      <c r="S25" s="37"/>
      <c r="T25" s="38"/>
      <c r="U25" s="44" t="s">
        <v>96</v>
      </c>
    </row>
    <row r="26" ht="15.75" spans="1:21">
      <c r="A26" s="10"/>
      <c r="B26" s="10"/>
      <c r="C26" s="7" t="s">
        <v>41</v>
      </c>
      <c r="D26" s="6"/>
      <c r="E26" s="8">
        <f>SUM(E14:E25)</f>
        <v>8298</v>
      </c>
      <c r="F26" s="8">
        <f>SUM(F14:F25)</f>
        <v>8298</v>
      </c>
      <c r="G26" s="9"/>
      <c r="H26" s="9"/>
      <c r="I26" s="9"/>
      <c r="J26" s="26"/>
      <c r="K26" s="26"/>
      <c r="L26" s="6">
        <f t="shared" ref="L26:N26" si="12">SUM(L14:L25)</f>
        <v>1797</v>
      </c>
      <c r="M26" s="15">
        <f t="shared" si="12"/>
        <v>0</v>
      </c>
      <c r="N26" s="15">
        <f t="shared" si="12"/>
        <v>76.372</v>
      </c>
      <c r="O26" s="15">
        <f>SUM(O14)</f>
        <v>76.37</v>
      </c>
      <c r="P26" s="25"/>
      <c r="Q26" s="35">
        <f>SUM(Q14:Q25)</f>
        <v>72.41472405</v>
      </c>
      <c r="R26" s="37">
        <f>O26-N26</f>
        <v>-0.00199999999999534</v>
      </c>
      <c r="S26" s="37">
        <f>Q26-N26</f>
        <v>-3.95727594999998</v>
      </c>
      <c r="T26" s="38"/>
      <c r="U26" s="44"/>
    </row>
    <row r="27" ht="15.75" spans="1:21">
      <c r="A27" s="11"/>
      <c r="B27" s="11"/>
      <c r="C27" s="7" t="s">
        <v>97</v>
      </c>
      <c r="D27" s="6"/>
      <c r="E27" s="8">
        <f>E8+E12+E13+E26</f>
        <v>11497.5</v>
      </c>
      <c r="F27" s="8">
        <f>F8+F12+F13+F26</f>
        <v>11097</v>
      </c>
      <c r="G27" s="9"/>
      <c r="H27" s="9"/>
      <c r="I27" s="9"/>
      <c r="J27" s="26"/>
      <c r="K27" s="26"/>
      <c r="L27" s="6">
        <f t="shared" ref="L27:O27" si="13">L8+L12+L13+L26</f>
        <v>3890</v>
      </c>
      <c r="M27" s="15">
        <f t="shared" si="13"/>
        <v>0</v>
      </c>
      <c r="N27" s="15">
        <f t="shared" si="13"/>
        <v>131.8233</v>
      </c>
      <c r="O27" s="15">
        <f t="shared" si="13"/>
        <v>131.8213</v>
      </c>
      <c r="P27" s="25">
        <f>N27-O27</f>
        <v>0.00200000000000955</v>
      </c>
      <c r="Q27" s="35">
        <f>Q8+Q12+Q13+Q26</f>
        <v>116.43198255</v>
      </c>
      <c r="R27" s="37">
        <f>O27-N27</f>
        <v>-0.00200000000000955</v>
      </c>
      <c r="S27" s="37">
        <f>Q27-N27</f>
        <v>-15.39131745</v>
      </c>
      <c r="T27" s="38"/>
      <c r="U27" s="44"/>
    </row>
    <row r="28" ht="58.5" spans="1:21">
      <c r="A28" s="5" t="s">
        <v>98</v>
      </c>
      <c r="B28" s="5">
        <v>5</v>
      </c>
      <c r="C28" s="5" t="s">
        <v>99</v>
      </c>
      <c r="D28" s="6" t="s">
        <v>100</v>
      </c>
      <c r="E28" s="8">
        <v>500</v>
      </c>
      <c r="F28" s="8">
        <v>30</v>
      </c>
      <c r="G28" s="6" t="s">
        <v>101</v>
      </c>
      <c r="H28" s="5" t="s">
        <v>101</v>
      </c>
      <c r="I28" s="9" t="s">
        <v>101</v>
      </c>
      <c r="J28" s="26">
        <v>43313</v>
      </c>
      <c r="K28" s="26">
        <v>43463</v>
      </c>
      <c r="L28" s="6">
        <f t="shared" ref="L28:L37" si="14">K28-J28</f>
        <v>150</v>
      </c>
      <c r="M28" s="15">
        <v>0</v>
      </c>
      <c r="N28" s="15">
        <v>4.1874</v>
      </c>
      <c r="O28" s="16">
        <v>17.9757</v>
      </c>
      <c r="P28" s="25"/>
      <c r="Q28" s="35">
        <f t="shared" ref="Q28:Q37" si="15">F28*4.35/100*0.459*L28/360</f>
        <v>0.24958125</v>
      </c>
      <c r="R28" s="37"/>
      <c r="S28" s="37"/>
      <c r="T28" s="38"/>
      <c r="U28" s="44" t="s">
        <v>102</v>
      </c>
    </row>
    <row r="29" ht="58.5" spans="1:21">
      <c r="A29" s="10"/>
      <c r="B29" s="10"/>
      <c r="C29" s="10"/>
      <c r="D29" s="6" t="s">
        <v>100</v>
      </c>
      <c r="E29" s="8"/>
      <c r="F29" s="8">
        <v>470</v>
      </c>
      <c r="G29" s="6"/>
      <c r="H29" s="11"/>
      <c r="I29" s="9" t="s">
        <v>101</v>
      </c>
      <c r="J29" s="26">
        <v>43313</v>
      </c>
      <c r="K29" s="26">
        <v>43463</v>
      </c>
      <c r="L29" s="6">
        <f t="shared" si="14"/>
        <v>150</v>
      </c>
      <c r="M29" s="15">
        <v>0</v>
      </c>
      <c r="N29" s="15"/>
      <c r="O29" s="17"/>
      <c r="P29" s="25"/>
      <c r="Q29" s="35">
        <f t="shared" si="15"/>
        <v>3.91010625</v>
      </c>
      <c r="R29" s="37"/>
      <c r="S29" s="37"/>
      <c r="T29" s="38"/>
      <c r="U29" s="44" t="s">
        <v>102</v>
      </c>
    </row>
    <row r="30" ht="60" spans="1:21">
      <c r="A30" s="10"/>
      <c r="B30" s="10"/>
      <c r="C30" s="10"/>
      <c r="D30" s="6" t="s">
        <v>100</v>
      </c>
      <c r="E30" s="8">
        <v>489</v>
      </c>
      <c r="F30" s="8">
        <f t="shared" ref="F30:F37" si="16">E30</f>
        <v>489</v>
      </c>
      <c r="G30" s="9" t="s">
        <v>103</v>
      </c>
      <c r="H30" s="9" t="s">
        <v>104</v>
      </c>
      <c r="I30" s="9" t="s">
        <v>103</v>
      </c>
      <c r="J30" s="26">
        <v>43464</v>
      </c>
      <c r="K30" s="26">
        <v>43677</v>
      </c>
      <c r="L30" s="6">
        <f t="shared" si="14"/>
        <v>213</v>
      </c>
      <c r="M30" s="15">
        <v>0</v>
      </c>
      <c r="N30" s="15">
        <v>5.8039</v>
      </c>
      <c r="O30" s="17"/>
      <c r="P30" s="25"/>
      <c r="Q30" s="35">
        <f t="shared" si="15"/>
        <v>5.7768076125</v>
      </c>
      <c r="R30" s="37"/>
      <c r="S30" s="37"/>
      <c r="T30" s="38"/>
      <c r="U30" s="44" t="s">
        <v>102</v>
      </c>
    </row>
    <row r="31" ht="58.5" spans="1:21">
      <c r="A31" s="10"/>
      <c r="B31" s="10"/>
      <c r="C31" s="10"/>
      <c r="D31" s="6" t="s">
        <v>105</v>
      </c>
      <c r="E31" s="8">
        <v>400</v>
      </c>
      <c r="F31" s="8">
        <f t="shared" si="16"/>
        <v>400</v>
      </c>
      <c r="G31" s="9" t="s">
        <v>106</v>
      </c>
      <c r="H31" s="9" t="s">
        <v>106</v>
      </c>
      <c r="I31" s="9" t="s">
        <v>106</v>
      </c>
      <c r="J31" s="26">
        <v>43313</v>
      </c>
      <c r="K31" s="26">
        <v>43395</v>
      </c>
      <c r="L31" s="6">
        <f t="shared" si="14"/>
        <v>82</v>
      </c>
      <c r="M31" s="15">
        <v>0</v>
      </c>
      <c r="N31" s="15">
        <v>1.8414</v>
      </c>
      <c r="O31" s="17"/>
      <c r="P31" s="25"/>
      <c r="Q31" s="35">
        <f t="shared" si="15"/>
        <v>1.81917</v>
      </c>
      <c r="R31" s="37"/>
      <c r="S31" s="37"/>
      <c r="T31" s="38"/>
      <c r="U31" s="45" t="s">
        <v>107</v>
      </c>
    </row>
    <row r="32" ht="60" spans="1:21">
      <c r="A32" s="10"/>
      <c r="B32" s="10"/>
      <c r="C32" s="10"/>
      <c r="D32" s="6" t="s">
        <v>105</v>
      </c>
      <c r="E32" s="8">
        <v>398</v>
      </c>
      <c r="F32" s="8">
        <f t="shared" si="16"/>
        <v>398</v>
      </c>
      <c r="G32" s="9" t="s">
        <v>108</v>
      </c>
      <c r="H32" s="9" t="s">
        <v>108</v>
      </c>
      <c r="I32" s="9" t="s">
        <v>108</v>
      </c>
      <c r="J32" s="26">
        <v>43396</v>
      </c>
      <c r="K32" s="26">
        <v>43463</v>
      </c>
      <c r="L32" s="6">
        <f t="shared" si="14"/>
        <v>67</v>
      </c>
      <c r="M32" s="15">
        <v>0</v>
      </c>
      <c r="N32" s="15">
        <v>1.501</v>
      </c>
      <c r="O32" s="17"/>
      <c r="P32" s="25"/>
      <c r="Q32" s="35">
        <f t="shared" si="15"/>
        <v>1.478963025</v>
      </c>
      <c r="R32" s="37"/>
      <c r="S32" s="37"/>
      <c r="T32" s="38"/>
      <c r="U32" s="46"/>
    </row>
    <row r="33" ht="60" spans="1:21">
      <c r="A33" s="10"/>
      <c r="B33" s="10"/>
      <c r="C33" s="10"/>
      <c r="D33" s="6" t="s">
        <v>105</v>
      </c>
      <c r="E33" s="8">
        <v>397</v>
      </c>
      <c r="F33" s="8">
        <f t="shared" si="16"/>
        <v>397</v>
      </c>
      <c r="G33" s="9" t="s">
        <v>109</v>
      </c>
      <c r="H33" s="9" t="s">
        <v>109</v>
      </c>
      <c r="I33" s="9" t="s">
        <v>109</v>
      </c>
      <c r="J33" s="26">
        <v>43464</v>
      </c>
      <c r="K33" s="26">
        <v>43521</v>
      </c>
      <c r="L33" s="6">
        <f t="shared" si="14"/>
        <v>57</v>
      </c>
      <c r="M33" s="15">
        <v>0</v>
      </c>
      <c r="N33" s="15">
        <v>1.2771</v>
      </c>
      <c r="O33" s="17"/>
      <c r="P33" s="25"/>
      <c r="Q33" s="35">
        <f t="shared" si="15"/>
        <v>1.2550609125</v>
      </c>
      <c r="R33" s="37"/>
      <c r="S33" s="37"/>
      <c r="T33" s="38"/>
      <c r="U33" s="46"/>
    </row>
    <row r="34" ht="60" spans="1:21">
      <c r="A34" s="10"/>
      <c r="B34" s="10"/>
      <c r="C34" s="10"/>
      <c r="D34" s="6" t="s">
        <v>105</v>
      </c>
      <c r="E34" s="8">
        <v>395</v>
      </c>
      <c r="F34" s="8">
        <f t="shared" si="16"/>
        <v>395</v>
      </c>
      <c r="G34" s="9" t="s">
        <v>110</v>
      </c>
      <c r="H34" s="9" t="s">
        <v>110</v>
      </c>
      <c r="I34" s="9" t="s">
        <v>110</v>
      </c>
      <c r="J34" s="26">
        <v>43522</v>
      </c>
      <c r="K34" s="26">
        <v>43550</v>
      </c>
      <c r="L34" s="6">
        <f t="shared" si="14"/>
        <v>28</v>
      </c>
      <c r="M34" s="15">
        <v>0</v>
      </c>
      <c r="N34" s="15">
        <v>0.6353</v>
      </c>
      <c r="O34" s="17"/>
      <c r="P34" s="25"/>
      <c r="Q34" s="35">
        <f t="shared" si="15"/>
        <v>0.61341525</v>
      </c>
      <c r="R34" s="37"/>
      <c r="S34" s="37"/>
      <c r="T34" s="38"/>
      <c r="U34" s="46"/>
    </row>
    <row r="35" ht="60" spans="1:21">
      <c r="A35" s="10"/>
      <c r="B35" s="10"/>
      <c r="C35" s="10"/>
      <c r="D35" s="6" t="s">
        <v>105</v>
      </c>
      <c r="E35" s="8">
        <v>393</v>
      </c>
      <c r="F35" s="8">
        <f t="shared" si="16"/>
        <v>393</v>
      </c>
      <c r="G35" s="9" t="s">
        <v>111</v>
      </c>
      <c r="H35" s="9" t="s">
        <v>111</v>
      </c>
      <c r="I35" s="9" t="s">
        <v>111</v>
      </c>
      <c r="J35" s="26">
        <v>43551</v>
      </c>
      <c r="K35" s="26">
        <v>43577</v>
      </c>
      <c r="L35" s="6">
        <f t="shared" si="14"/>
        <v>26</v>
      </c>
      <c r="M35" s="15">
        <v>0</v>
      </c>
      <c r="N35" s="15">
        <v>0.5885</v>
      </c>
      <c r="O35" s="17"/>
      <c r="P35" s="25"/>
      <c r="Q35" s="35">
        <f t="shared" si="15"/>
        <v>0.566715825</v>
      </c>
      <c r="R35" s="37"/>
      <c r="S35" s="37"/>
      <c r="T35" s="38"/>
      <c r="U35" s="46"/>
    </row>
    <row r="36" ht="60" spans="1:21">
      <c r="A36" s="10"/>
      <c r="B36" s="10"/>
      <c r="C36" s="10"/>
      <c r="D36" s="6" t="s">
        <v>105</v>
      </c>
      <c r="E36" s="8">
        <v>389</v>
      </c>
      <c r="F36" s="8">
        <f t="shared" si="16"/>
        <v>389</v>
      </c>
      <c r="G36" s="9" t="s">
        <v>112</v>
      </c>
      <c r="H36" s="9" t="s">
        <v>112</v>
      </c>
      <c r="I36" s="9" t="s">
        <v>112</v>
      </c>
      <c r="J36" s="26">
        <v>43578</v>
      </c>
      <c r="K36" s="26">
        <v>43640</v>
      </c>
      <c r="L36" s="6">
        <f t="shared" si="14"/>
        <v>62</v>
      </c>
      <c r="M36" s="15">
        <v>0</v>
      </c>
      <c r="N36" s="15">
        <v>1.3592</v>
      </c>
      <c r="O36" s="19"/>
      <c r="P36" s="25"/>
      <c r="Q36" s="35">
        <f t="shared" si="15"/>
        <v>1.337644575</v>
      </c>
      <c r="R36" s="37"/>
      <c r="S36" s="37"/>
      <c r="T36" s="38"/>
      <c r="U36" s="46"/>
    </row>
    <row r="37" ht="60" spans="1:21">
      <c r="A37" s="10"/>
      <c r="B37" s="10"/>
      <c r="C37" s="11"/>
      <c r="D37" s="6" t="s">
        <v>105</v>
      </c>
      <c r="E37" s="8">
        <v>381</v>
      </c>
      <c r="F37" s="8">
        <f t="shared" si="16"/>
        <v>381</v>
      </c>
      <c r="G37" s="9" t="s">
        <v>113</v>
      </c>
      <c r="H37" s="9" t="s">
        <v>113</v>
      </c>
      <c r="I37" s="9" t="s">
        <v>113</v>
      </c>
      <c r="J37" s="26">
        <v>43641</v>
      </c>
      <c r="K37" s="26">
        <v>43677</v>
      </c>
      <c r="L37" s="6">
        <f t="shared" si="14"/>
        <v>36</v>
      </c>
      <c r="M37" s="15">
        <v>0</v>
      </c>
      <c r="N37" s="15">
        <v>0.7819</v>
      </c>
      <c r="O37" s="8"/>
      <c r="P37" s="25"/>
      <c r="Q37" s="35">
        <f t="shared" si="15"/>
        <v>0.76072365</v>
      </c>
      <c r="R37" s="37"/>
      <c r="S37" s="37"/>
      <c r="T37" s="38"/>
      <c r="U37" s="42"/>
    </row>
    <row r="38" ht="15.75" spans="1:21">
      <c r="A38" s="11"/>
      <c r="B38" s="11"/>
      <c r="C38" s="7" t="s">
        <v>41</v>
      </c>
      <c r="D38" s="6"/>
      <c r="E38" s="8">
        <f>E28+E31</f>
        <v>900</v>
      </c>
      <c r="F38" s="8">
        <f>F28+F31+F29</f>
        <v>900</v>
      </c>
      <c r="G38" s="9"/>
      <c r="H38" s="9"/>
      <c r="I38" s="9"/>
      <c r="J38" s="26"/>
      <c r="K38" s="26"/>
      <c r="L38" s="6">
        <f t="shared" ref="L38:N38" si="17">SUM(L28:L37)</f>
        <v>871</v>
      </c>
      <c r="M38" s="15">
        <f t="shared" si="17"/>
        <v>0</v>
      </c>
      <c r="N38" s="15">
        <f t="shared" si="17"/>
        <v>17.9757</v>
      </c>
      <c r="O38" s="15">
        <f>SUM(O28)</f>
        <v>17.9757</v>
      </c>
      <c r="P38" s="25"/>
      <c r="Q38" s="35">
        <f>SUM(Q28:Q37)</f>
        <v>17.76818835</v>
      </c>
      <c r="R38" s="37">
        <f>O38-N38</f>
        <v>0</v>
      </c>
      <c r="S38" s="37">
        <f>Q38-N38</f>
        <v>-0.207511650000004</v>
      </c>
      <c r="T38" s="38"/>
      <c r="U38" s="44"/>
    </row>
    <row r="39" ht="60" spans="1:21">
      <c r="A39" s="10" t="s">
        <v>98</v>
      </c>
      <c r="B39" s="6">
        <v>6</v>
      </c>
      <c r="C39" s="7" t="s">
        <v>114</v>
      </c>
      <c r="D39" s="6" t="s">
        <v>115</v>
      </c>
      <c r="E39" s="8">
        <v>200</v>
      </c>
      <c r="F39" s="8">
        <f t="shared" ref="F39:F45" si="18">E39</f>
        <v>200</v>
      </c>
      <c r="G39" s="12" t="s">
        <v>116</v>
      </c>
      <c r="H39" s="12" t="s">
        <v>116</v>
      </c>
      <c r="I39" s="12" t="s">
        <v>117</v>
      </c>
      <c r="J39" s="26">
        <v>43313</v>
      </c>
      <c r="K39" s="26">
        <v>43599</v>
      </c>
      <c r="L39" s="6">
        <f t="shared" ref="L39:L45" si="19">K39-J39</f>
        <v>286</v>
      </c>
      <c r="M39" s="15">
        <v>0</v>
      </c>
      <c r="N39" s="15">
        <v>3.1547</v>
      </c>
      <c r="O39" s="15">
        <v>9.3036</v>
      </c>
      <c r="P39" s="25"/>
      <c r="Q39" s="35">
        <f t="shared" ref="Q39:Q45" si="20">F39*4.35/100*0.459*L39/360</f>
        <v>3.172455</v>
      </c>
      <c r="R39" s="37"/>
      <c r="S39" s="37"/>
      <c r="T39" s="43" t="s">
        <v>118</v>
      </c>
      <c r="U39" s="44" t="s">
        <v>119</v>
      </c>
    </row>
    <row r="40" ht="60" spans="1:21">
      <c r="A40" s="10"/>
      <c r="B40" s="6"/>
      <c r="C40" s="7"/>
      <c r="D40" s="6" t="s">
        <v>115</v>
      </c>
      <c r="E40" s="8">
        <v>150</v>
      </c>
      <c r="F40" s="8">
        <f t="shared" si="18"/>
        <v>150</v>
      </c>
      <c r="G40" s="9" t="s">
        <v>120</v>
      </c>
      <c r="H40" s="9" t="s">
        <v>120</v>
      </c>
      <c r="I40" s="9" t="s">
        <v>120</v>
      </c>
      <c r="J40" s="26">
        <v>43313</v>
      </c>
      <c r="K40" s="26">
        <v>43452</v>
      </c>
      <c r="L40" s="6">
        <f t="shared" si="19"/>
        <v>139</v>
      </c>
      <c r="M40" s="15">
        <v>0</v>
      </c>
      <c r="N40" s="15">
        <v>1.148</v>
      </c>
      <c r="O40" s="15"/>
      <c r="P40" s="25"/>
      <c r="Q40" s="35">
        <f t="shared" si="20"/>
        <v>1.156393125</v>
      </c>
      <c r="R40" s="37"/>
      <c r="S40" s="37"/>
      <c r="T40" s="43" t="s">
        <v>118</v>
      </c>
      <c r="U40" s="44" t="s">
        <v>119</v>
      </c>
    </row>
    <row r="41" ht="60" spans="1:21">
      <c r="A41" s="10"/>
      <c r="B41" s="6"/>
      <c r="C41" s="7"/>
      <c r="D41" s="6" t="s">
        <v>115</v>
      </c>
      <c r="E41" s="8">
        <v>150</v>
      </c>
      <c r="F41" s="8">
        <f t="shared" si="18"/>
        <v>150</v>
      </c>
      <c r="G41" s="9" t="s">
        <v>121</v>
      </c>
      <c r="H41" s="9" t="s">
        <v>122</v>
      </c>
      <c r="I41" s="9" t="s">
        <v>121</v>
      </c>
      <c r="J41" s="26">
        <v>43371</v>
      </c>
      <c r="K41" s="26">
        <v>43677</v>
      </c>
      <c r="L41" s="6">
        <f t="shared" si="19"/>
        <v>306</v>
      </c>
      <c r="M41" s="15">
        <v>0</v>
      </c>
      <c r="N41" s="15">
        <v>2.5208</v>
      </c>
      <c r="O41" s="15"/>
      <c r="P41" s="25"/>
      <c r="Q41" s="35">
        <f t="shared" si="20"/>
        <v>2.54572875</v>
      </c>
      <c r="R41" s="37"/>
      <c r="S41" s="37"/>
      <c r="T41" s="48"/>
      <c r="U41" s="44" t="s">
        <v>119</v>
      </c>
    </row>
    <row r="42" ht="60" spans="1:21">
      <c r="A42" s="10"/>
      <c r="B42" s="6"/>
      <c r="C42" s="7"/>
      <c r="D42" s="6" t="s">
        <v>115</v>
      </c>
      <c r="E42" s="8">
        <v>80</v>
      </c>
      <c r="F42" s="8">
        <f t="shared" si="18"/>
        <v>80</v>
      </c>
      <c r="G42" s="9" t="s">
        <v>123</v>
      </c>
      <c r="H42" s="9" t="s">
        <v>124</v>
      </c>
      <c r="I42" s="9" t="s">
        <v>123</v>
      </c>
      <c r="J42" s="26">
        <v>43452</v>
      </c>
      <c r="K42" s="26">
        <v>43677</v>
      </c>
      <c r="L42" s="6">
        <f t="shared" si="19"/>
        <v>225</v>
      </c>
      <c r="M42" s="15">
        <v>0</v>
      </c>
      <c r="N42" s="15">
        <v>0.9894</v>
      </c>
      <c r="O42" s="15"/>
      <c r="P42" s="25"/>
      <c r="Q42" s="35">
        <f t="shared" si="20"/>
        <v>0.998325</v>
      </c>
      <c r="R42" s="37"/>
      <c r="S42" s="37"/>
      <c r="T42" s="48"/>
      <c r="U42" s="44" t="s">
        <v>125</v>
      </c>
    </row>
    <row r="43" ht="60" spans="1:21">
      <c r="A43" s="10"/>
      <c r="B43" s="6"/>
      <c r="C43" s="7"/>
      <c r="D43" s="6" t="s">
        <v>115</v>
      </c>
      <c r="E43" s="8">
        <v>60</v>
      </c>
      <c r="F43" s="8">
        <f t="shared" si="18"/>
        <v>60</v>
      </c>
      <c r="G43" s="9" t="s">
        <v>126</v>
      </c>
      <c r="H43" s="9" t="s">
        <v>127</v>
      </c>
      <c r="I43" s="9" t="s">
        <v>126</v>
      </c>
      <c r="J43" s="26">
        <v>43454</v>
      </c>
      <c r="K43" s="26">
        <v>43677</v>
      </c>
      <c r="L43" s="6">
        <f t="shared" si="19"/>
        <v>223</v>
      </c>
      <c r="M43" s="15">
        <v>0</v>
      </c>
      <c r="N43" s="15">
        <v>0.7354</v>
      </c>
      <c r="O43" s="15"/>
      <c r="P43" s="25"/>
      <c r="Q43" s="35">
        <f t="shared" si="20"/>
        <v>0.74208825</v>
      </c>
      <c r="R43" s="37"/>
      <c r="S43" s="37"/>
      <c r="T43" s="48"/>
      <c r="U43" s="44" t="s">
        <v>119</v>
      </c>
    </row>
    <row r="44" ht="60" spans="1:21">
      <c r="A44" s="10"/>
      <c r="B44" s="6"/>
      <c r="C44" s="7"/>
      <c r="D44" s="6" t="s">
        <v>115</v>
      </c>
      <c r="E44" s="8">
        <v>100</v>
      </c>
      <c r="F44" s="8">
        <f t="shared" si="18"/>
        <v>100</v>
      </c>
      <c r="G44" s="9" t="s">
        <v>128</v>
      </c>
      <c r="H44" s="9" t="s">
        <v>129</v>
      </c>
      <c r="I44" s="9" t="s">
        <v>128</v>
      </c>
      <c r="J44" s="26">
        <v>43607</v>
      </c>
      <c r="K44" s="26">
        <v>43677</v>
      </c>
      <c r="L44" s="6">
        <f t="shared" si="19"/>
        <v>70</v>
      </c>
      <c r="M44" s="15">
        <v>0</v>
      </c>
      <c r="N44" s="15">
        <v>0.3771</v>
      </c>
      <c r="O44" s="15"/>
      <c r="P44" s="25"/>
      <c r="Q44" s="35">
        <f t="shared" si="20"/>
        <v>0.3882375</v>
      </c>
      <c r="R44" s="37"/>
      <c r="S44" s="37"/>
      <c r="T44" s="48"/>
      <c r="U44" s="44" t="s">
        <v>119</v>
      </c>
    </row>
    <row r="45" ht="60" spans="1:21">
      <c r="A45" s="10"/>
      <c r="B45" s="6"/>
      <c r="C45" s="7"/>
      <c r="D45" s="6" t="s">
        <v>115</v>
      </c>
      <c r="E45" s="8">
        <v>110</v>
      </c>
      <c r="F45" s="8">
        <f t="shared" si="18"/>
        <v>110</v>
      </c>
      <c r="G45" s="9" t="s">
        <v>130</v>
      </c>
      <c r="H45" s="9" t="s">
        <v>131</v>
      </c>
      <c r="I45" s="9" t="s">
        <v>130</v>
      </c>
      <c r="J45" s="26">
        <v>43614</v>
      </c>
      <c r="K45" s="26">
        <v>43677</v>
      </c>
      <c r="L45" s="6">
        <f t="shared" si="19"/>
        <v>63</v>
      </c>
      <c r="M45" s="15">
        <v>0</v>
      </c>
      <c r="N45" s="15">
        <v>0.3782</v>
      </c>
      <c r="O45" s="15"/>
      <c r="P45" s="25"/>
      <c r="Q45" s="35">
        <f t="shared" si="20"/>
        <v>0.384355125</v>
      </c>
      <c r="R45" s="37"/>
      <c r="S45" s="37"/>
      <c r="T45" s="48"/>
      <c r="U45" s="44" t="s">
        <v>125</v>
      </c>
    </row>
    <row r="46" ht="15.75" spans="1:21">
      <c r="A46" s="10"/>
      <c r="B46" s="6"/>
      <c r="C46" s="7" t="s">
        <v>41</v>
      </c>
      <c r="D46" s="6"/>
      <c r="E46" s="8">
        <f>SUM(E39:E45)</f>
        <v>850</v>
      </c>
      <c r="F46" s="8">
        <f>SUM(F39:F45)</f>
        <v>850</v>
      </c>
      <c r="G46" s="9"/>
      <c r="H46" s="9"/>
      <c r="I46" s="9"/>
      <c r="J46" s="26"/>
      <c r="K46" s="26"/>
      <c r="L46" s="6">
        <f t="shared" ref="L46:O46" si="21">SUM(L39:L45)</f>
        <v>1312</v>
      </c>
      <c r="M46" s="15"/>
      <c r="N46" s="15">
        <f t="shared" si="21"/>
        <v>9.3036</v>
      </c>
      <c r="O46" s="15">
        <f t="shared" si="21"/>
        <v>9.3036</v>
      </c>
      <c r="P46" s="25"/>
      <c r="Q46" s="35">
        <f>SUM(Q39:Q45)</f>
        <v>9.38758275</v>
      </c>
      <c r="R46" s="37">
        <f t="shared" ref="R46:R49" si="22">O46-N46</f>
        <v>0</v>
      </c>
      <c r="S46" s="37">
        <f t="shared" ref="S46:S50" si="23">Q46-N46</f>
        <v>0.0839827500000023</v>
      </c>
      <c r="T46" s="38"/>
      <c r="U46" s="44"/>
    </row>
    <row r="47" ht="85.5" spans="1:21">
      <c r="A47" s="10"/>
      <c r="B47" s="6">
        <v>7</v>
      </c>
      <c r="C47" s="7" t="s">
        <v>132</v>
      </c>
      <c r="D47" s="6" t="s">
        <v>133</v>
      </c>
      <c r="E47" s="8">
        <v>50</v>
      </c>
      <c r="F47" s="8">
        <f>E47</f>
        <v>50</v>
      </c>
      <c r="G47" s="9" t="s">
        <v>134</v>
      </c>
      <c r="H47" s="9" t="s">
        <v>135</v>
      </c>
      <c r="I47" s="9" t="s">
        <v>136</v>
      </c>
      <c r="J47" s="26">
        <v>43496</v>
      </c>
      <c r="K47" s="26">
        <v>43677</v>
      </c>
      <c r="L47" s="6">
        <f t="shared" ref="L47:L52" si="24">K47-J47</f>
        <v>181</v>
      </c>
      <c r="M47" s="15">
        <v>0</v>
      </c>
      <c r="N47" s="15">
        <v>0.5019</v>
      </c>
      <c r="O47" s="15">
        <v>0.5019</v>
      </c>
      <c r="P47" s="25"/>
      <c r="Q47" s="35">
        <f t="shared" ref="Q47:Q57" si="25">F47*4.35/100*0.459*L47/360</f>
        <v>0.501935625</v>
      </c>
      <c r="R47" s="37">
        <f t="shared" si="22"/>
        <v>0</v>
      </c>
      <c r="S47" s="37">
        <f t="shared" si="23"/>
        <v>3.56249999999836e-5</v>
      </c>
      <c r="T47" s="43" t="s">
        <v>137</v>
      </c>
      <c r="U47" s="44" t="s">
        <v>138</v>
      </c>
    </row>
    <row r="48" ht="15.75" spans="1:21">
      <c r="A48" s="11"/>
      <c r="B48" s="6"/>
      <c r="C48" s="7" t="s">
        <v>139</v>
      </c>
      <c r="D48" s="6"/>
      <c r="E48" s="8">
        <f>E38+E46+E47</f>
        <v>1800</v>
      </c>
      <c r="F48" s="8">
        <f>F38+F46+F47</f>
        <v>1800</v>
      </c>
      <c r="G48" s="9"/>
      <c r="H48" s="9"/>
      <c r="I48" s="9"/>
      <c r="J48" s="26"/>
      <c r="K48" s="26"/>
      <c r="L48" s="6">
        <f t="shared" ref="L48:O48" si="26">L38+L46+L47</f>
        <v>2364</v>
      </c>
      <c r="M48" s="15">
        <f t="shared" si="26"/>
        <v>0</v>
      </c>
      <c r="N48" s="15">
        <f t="shared" si="26"/>
        <v>27.7812</v>
      </c>
      <c r="O48" s="15">
        <f t="shared" si="26"/>
        <v>27.7812</v>
      </c>
      <c r="P48" s="25">
        <f>N48-O48</f>
        <v>0</v>
      </c>
      <c r="Q48" s="35">
        <f>Q38+Q46+Q47</f>
        <v>27.657706725</v>
      </c>
      <c r="R48" s="37">
        <f t="shared" si="22"/>
        <v>0</v>
      </c>
      <c r="S48" s="37">
        <f t="shared" si="23"/>
        <v>-0.123493275000001</v>
      </c>
      <c r="T48" s="38"/>
      <c r="U48" s="44"/>
    </row>
    <row r="49" ht="67.5" spans="1:21">
      <c r="A49" s="5" t="s">
        <v>140</v>
      </c>
      <c r="B49" s="6">
        <v>8</v>
      </c>
      <c r="C49" s="7" t="s">
        <v>141</v>
      </c>
      <c r="D49" s="6" t="s">
        <v>142</v>
      </c>
      <c r="E49" s="8">
        <v>200</v>
      </c>
      <c r="F49" s="8">
        <f>200-20</f>
        <v>180</v>
      </c>
      <c r="G49" s="9" t="s">
        <v>143</v>
      </c>
      <c r="H49" s="9" t="s">
        <v>144</v>
      </c>
      <c r="I49" s="9" t="s">
        <v>27</v>
      </c>
      <c r="J49" s="26">
        <v>43313</v>
      </c>
      <c r="K49" s="26">
        <v>43677</v>
      </c>
      <c r="L49" s="6">
        <v>360</v>
      </c>
      <c r="M49" s="15">
        <v>0</v>
      </c>
      <c r="N49" s="15">
        <v>4.0488</v>
      </c>
      <c r="O49" s="15">
        <v>4.05</v>
      </c>
      <c r="P49" s="25"/>
      <c r="Q49" s="35">
        <f t="shared" si="25"/>
        <v>3.59397</v>
      </c>
      <c r="R49" s="37">
        <f t="shared" si="22"/>
        <v>0.00119999999999987</v>
      </c>
      <c r="S49" s="37">
        <f t="shared" si="23"/>
        <v>-0.45483</v>
      </c>
      <c r="T49" s="38"/>
      <c r="U49" s="44" t="s">
        <v>145</v>
      </c>
    </row>
    <row r="50" ht="60" spans="1:21">
      <c r="A50" s="10"/>
      <c r="B50" s="5">
        <v>9</v>
      </c>
      <c r="C50" s="5" t="s">
        <v>146</v>
      </c>
      <c r="D50" s="13" t="s">
        <v>147</v>
      </c>
      <c r="E50" s="14">
        <v>200</v>
      </c>
      <c r="F50" s="8">
        <v>100</v>
      </c>
      <c r="G50" s="13" t="s">
        <v>148</v>
      </c>
      <c r="H50" s="9" t="s">
        <v>149</v>
      </c>
      <c r="I50" s="9" t="s">
        <v>27</v>
      </c>
      <c r="J50" s="18">
        <v>43313</v>
      </c>
      <c r="K50" s="18">
        <v>43677</v>
      </c>
      <c r="L50" s="6">
        <v>360</v>
      </c>
      <c r="M50" s="15">
        <v>0</v>
      </c>
      <c r="N50" s="15">
        <v>4.0488</v>
      </c>
      <c r="O50" s="16">
        <v>24.7631</v>
      </c>
      <c r="P50" s="27"/>
      <c r="Q50" s="35">
        <f t="shared" si="25"/>
        <v>1.99665</v>
      </c>
      <c r="R50" s="36">
        <f>O50-N50-N51-N55</f>
        <v>0</v>
      </c>
      <c r="S50" s="37">
        <f t="shared" si="23"/>
        <v>-2.05215</v>
      </c>
      <c r="T50" s="38"/>
      <c r="U50" s="44" t="s">
        <v>150</v>
      </c>
    </row>
    <row r="51" ht="71.25" spans="1:21">
      <c r="A51" s="10"/>
      <c r="B51" s="10"/>
      <c r="C51" s="10"/>
      <c r="D51" s="5" t="s">
        <v>151</v>
      </c>
      <c r="E51" s="15">
        <v>588.24</v>
      </c>
      <c r="F51" s="8">
        <v>30</v>
      </c>
      <c r="G51" s="7"/>
      <c r="H51" s="9" t="s">
        <v>152</v>
      </c>
      <c r="I51" s="9" t="s">
        <v>153</v>
      </c>
      <c r="J51" s="18">
        <v>43313</v>
      </c>
      <c r="K51" s="18">
        <v>43493</v>
      </c>
      <c r="L51" s="6">
        <f t="shared" si="24"/>
        <v>180</v>
      </c>
      <c r="M51" s="15">
        <v>0</v>
      </c>
      <c r="N51" s="16">
        <v>11.9082</v>
      </c>
      <c r="O51" s="17"/>
      <c r="P51" s="28"/>
      <c r="Q51" s="35">
        <f t="shared" si="25"/>
        <v>0.2994975</v>
      </c>
      <c r="R51" s="40"/>
      <c r="S51" s="40">
        <f>Q51+Q52+Q53+Q54-N51</f>
        <v>-1.09376679</v>
      </c>
      <c r="T51" s="38"/>
      <c r="U51" s="44" t="s">
        <v>154</v>
      </c>
    </row>
    <row r="52" ht="71.25" spans="1:21">
      <c r="A52" s="10"/>
      <c r="B52" s="10"/>
      <c r="C52" s="10"/>
      <c r="D52" s="10"/>
      <c r="E52" s="15"/>
      <c r="F52" s="8">
        <v>10</v>
      </c>
      <c r="G52" s="7"/>
      <c r="H52" s="9" t="s">
        <v>155</v>
      </c>
      <c r="I52" s="9" t="s">
        <v>156</v>
      </c>
      <c r="J52" s="18">
        <v>43313</v>
      </c>
      <c r="K52" s="18">
        <v>43615</v>
      </c>
      <c r="L52" s="6">
        <f t="shared" si="24"/>
        <v>302</v>
      </c>
      <c r="M52" s="15">
        <v>0</v>
      </c>
      <c r="N52" s="17"/>
      <c r="O52" s="17"/>
      <c r="P52" s="28"/>
      <c r="Q52" s="35">
        <f t="shared" si="25"/>
        <v>0.16749675</v>
      </c>
      <c r="R52" s="40"/>
      <c r="S52" s="40"/>
      <c r="T52" s="38"/>
      <c r="U52" s="44" t="s">
        <v>154</v>
      </c>
    </row>
    <row r="53" ht="71.25" spans="1:21">
      <c r="A53" s="10"/>
      <c r="B53" s="10"/>
      <c r="C53" s="10"/>
      <c r="D53" s="10"/>
      <c r="E53" s="15"/>
      <c r="F53" s="8">
        <f>518.24-52.94</f>
        <v>465.3</v>
      </c>
      <c r="G53" s="7"/>
      <c r="H53" s="9" t="s">
        <v>157</v>
      </c>
      <c r="I53" s="9" t="s">
        <v>27</v>
      </c>
      <c r="J53" s="18">
        <v>43313</v>
      </c>
      <c r="K53" s="18">
        <v>43677</v>
      </c>
      <c r="L53" s="6">
        <v>360</v>
      </c>
      <c r="M53" s="15">
        <v>0</v>
      </c>
      <c r="N53" s="17"/>
      <c r="O53" s="17"/>
      <c r="P53" s="28"/>
      <c r="Q53" s="35">
        <f t="shared" si="25"/>
        <v>9.29041245</v>
      </c>
      <c r="R53" s="40"/>
      <c r="S53" s="40"/>
      <c r="T53" s="38"/>
      <c r="U53" s="44" t="s">
        <v>154</v>
      </c>
    </row>
    <row r="54" ht="71.25" spans="1:21">
      <c r="A54" s="11"/>
      <c r="B54" s="11"/>
      <c r="C54" s="11"/>
      <c r="D54" s="11"/>
      <c r="E54" s="15"/>
      <c r="F54" s="8">
        <v>52.94</v>
      </c>
      <c r="G54" s="7"/>
      <c r="H54" s="9" t="s">
        <v>158</v>
      </c>
      <c r="I54" s="9" t="s">
        <v>27</v>
      </c>
      <c r="J54" s="18">
        <v>43313</v>
      </c>
      <c r="K54" s="18">
        <v>43677</v>
      </c>
      <c r="L54" s="6">
        <v>360</v>
      </c>
      <c r="M54" s="15">
        <v>0</v>
      </c>
      <c r="N54" s="19"/>
      <c r="O54" s="19"/>
      <c r="P54" s="28"/>
      <c r="Q54" s="35">
        <f t="shared" si="25"/>
        <v>1.05702651</v>
      </c>
      <c r="R54" s="40"/>
      <c r="S54" s="41"/>
      <c r="T54" s="38"/>
      <c r="U54" s="44" t="s">
        <v>154</v>
      </c>
    </row>
    <row r="55" ht="48" spans="1:21">
      <c r="A55" s="10" t="s">
        <v>140</v>
      </c>
      <c r="B55" s="5">
        <v>9</v>
      </c>
      <c r="C55" s="5" t="s">
        <v>146</v>
      </c>
      <c r="D55" s="6" t="s">
        <v>159</v>
      </c>
      <c r="E55" s="16">
        <v>435</v>
      </c>
      <c r="F55" s="8">
        <v>450</v>
      </c>
      <c r="G55" s="9"/>
      <c r="H55" s="9" t="s">
        <v>160</v>
      </c>
      <c r="I55" s="9" t="s">
        <v>160</v>
      </c>
      <c r="J55" s="18">
        <v>43313</v>
      </c>
      <c r="K55" s="18">
        <v>43608</v>
      </c>
      <c r="L55" s="6">
        <f t="shared" ref="L55:L57" si="27">K55-J55</f>
        <v>295</v>
      </c>
      <c r="M55" s="15">
        <v>0</v>
      </c>
      <c r="N55" s="15">
        <v>8.8061</v>
      </c>
      <c r="O55" s="20"/>
      <c r="P55" s="28"/>
      <c r="Q55" s="35">
        <f t="shared" si="25"/>
        <v>7.362646875</v>
      </c>
      <c r="R55" s="40"/>
      <c r="S55" s="36">
        <f>Q55+Q56+Q57-N55</f>
        <v>0.209606687500001</v>
      </c>
      <c r="T55" s="43" t="s">
        <v>118</v>
      </c>
      <c r="U55" s="44" t="s">
        <v>161</v>
      </c>
    </row>
    <row r="56" ht="60" spans="1:21">
      <c r="A56" s="10"/>
      <c r="B56" s="10"/>
      <c r="C56" s="10"/>
      <c r="D56" s="5" t="s">
        <v>159</v>
      </c>
      <c r="E56" s="17"/>
      <c r="F56" s="8">
        <v>15</v>
      </c>
      <c r="G56" s="9" t="s">
        <v>162</v>
      </c>
      <c r="H56" s="18" t="s">
        <v>163</v>
      </c>
      <c r="I56" s="18" t="s">
        <v>163</v>
      </c>
      <c r="J56" s="18">
        <v>43608</v>
      </c>
      <c r="K56" s="18">
        <v>43663</v>
      </c>
      <c r="L56" s="6">
        <f t="shared" si="27"/>
        <v>55</v>
      </c>
      <c r="M56" s="15">
        <v>0</v>
      </c>
      <c r="N56" s="15"/>
      <c r="O56" s="20"/>
      <c r="P56" s="28"/>
      <c r="Q56" s="35">
        <f t="shared" si="25"/>
        <v>0.0457565625</v>
      </c>
      <c r="R56" s="40"/>
      <c r="S56" s="40"/>
      <c r="T56" s="49" t="s">
        <v>118</v>
      </c>
      <c r="U56" s="45" t="s">
        <v>164</v>
      </c>
    </row>
    <row r="57" ht="60" spans="1:21">
      <c r="A57" s="10"/>
      <c r="B57" s="10"/>
      <c r="C57" s="11"/>
      <c r="D57" s="11"/>
      <c r="E57" s="19"/>
      <c r="F57" s="8">
        <v>420</v>
      </c>
      <c r="G57" s="9" t="s">
        <v>162</v>
      </c>
      <c r="H57" s="18" t="s">
        <v>165</v>
      </c>
      <c r="I57" s="9" t="s">
        <v>166</v>
      </c>
      <c r="J57" s="18">
        <v>43608</v>
      </c>
      <c r="K57" s="18">
        <v>43677</v>
      </c>
      <c r="L57" s="6">
        <f t="shared" si="27"/>
        <v>69</v>
      </c>
      <c r="M57" s="15">
        <v>0</v>
      </c>
      <c r="N57" s="15"/>
      <c r="O57" s="29"/>
      <c r="P57" s="30"/>
      <c r="Q57" s="35">
        <f t="shared" si="25"/>
        <v>1.60730325</v>
      </c>
      <c r="R57" s="41"/>
      <c r="S57" s="41"/>
      <c r="T57" s="50"/>
      <c r="U57" s="42"/>
    </row>
    <row r="58" ht="15.75" spans="1:21">
      <c r="A58" s="10"/>
      <c r="B58" s="11"/>
      <c r="C58" s="7" t="s">
        <v>41</v>
      </c>
      <c r="D58" s="6"/>
      <c r="E58" s="8">
        <f>SUM(E50:E55)</f>
        <v>1223.24</v>
      </c>
      <c r="F58" s="8">
        <f>SUM(F50:F57)-F55</f>
        <v>1093.24</v>
      </c>
      <c r="G58" s="9"/>
      <c r="H58" s="9"/>
      <c r="I58" s="9"/>
      <c r="J58" s="26"/>
      <c r="K58" s="26"/>
      <c r="L58" s="6">
        <f>SUM(L50:L57)</f>
        <v>1981</v>
      </c>
      <c r="M58" s="15"/>
      <c r="N58" s="15">
        <f t="shared" ref="N58:R58" si="28">SUM(N50:N55)</f>
        <v>24.7631</v>
      </c>
      <c r="O58" s="15">
        <f t="shared" si="28"/>
        <v>24.7631</v>
      </c>
      <c r="P58" s="25"/>
      <c r="Q58" s="35">
        <f>SUM(Q50:Q57)</f>
        <v>21.8267898975</v>
      </c>
      <c r="R58" s="35">
        <f t="shared" si="28"/>
        <v>0</v>
      </c>
      <c r="S58" s="37">
        <f t="shared" ref="S58:S62" si="29">Q58-N58</f>
        <v>-2.9363101025</v>
      </c>
      <c r="T58" s="38"/>
      <c r="U58" s="44"/>
    </row>
    <row r="59" ht="60" spans="1:21">
      <c r="A59" s="10"/>
      <c r="B59" s="11">
        <v>10</v>
      </c>
      <c r="C59" s="13" t="s">
        <v>167</v>
      </c>
      <c r="D59" s="13" t="s">
        <v>168</v>
      </c>
      <c r="E59" s="20">
        <v>200</v>
      </c>
      <c r="F59" s="8">
        <v>150</v>
      </c>
      <c r="G59" s="9" t="s">
        <v>169</v>
      </c>
      <c r="H59" s="9" t="s">
        <v>170</v>
      </c>
      <c r="I59" s="9" t="s">
        <v>171</v>
      </c>
      <c r="J59" s="26">
        <v>43354</v>
      </c>
      <c r="K59" s="26">
        <v>43677</v>
      </c>
      <c r="L59" s="6">
        <f t="shared" ref="L59:L70" si="30">K59-J59</f>
        <v>323</v>
      </c>
      <c r="M59" s="15">
        <v>0</v>
      </c>
      <c r="N59" s="16">
        <v>3.7049</v>
      </c>
      <c r="O59" s="14">
        <v>3.7049</v>
      </c>
      <c r="P59" s="31"/>
      <c r="Q59" s="35">
        <f t="shared" ref="Q59:Q70" si="31">F59*4.35/100*0.459*L59/360</f>
        <v>2.687158125</v>
      </c>
      <c r="R59" s="41">
        <f t="shared" ref="R59:R62" si="32">O59-N59</f>
        <v>0</v>
      </c>
      <c r="S59" s="41">
        <f t="shared" si="29"/>
        <v>-1.017741875</v>
      </c>
      <c r="T59" s="43" t="s">
        <v>172</v>
      </c>
      <c r="U59" s="44" t="s">
        <v>173</v>
      </c>
    </row>
    <row r="60" ht="15.75" spans="1:21">
      <c r="A60" s="11"/>
      <c r="B60" s="9"/>
      <c r="C60" s="7" t="s">
        <v>174</v>
      </c>
      <c r="D60" s="6"/>
      <c r="E60" s="8">
        <f>E49+E58+E59</f>
        <v>1623.24</v>
      </c>
      <c r="F60" s="8">
        <f>F49+F58+F59</f>
        <v>1423.24</v>
      </c>
      <c r="G60" s="9"/>
      <c r="H60" s="9"/>
      <c r="I60" s="9"/>
      <c r="J60" s="26"/>
      <c r="K60" s="26"/>
      <c r="L60" s="6">
        <f t="shared" ref="L60:O60" si="33">L49+L58+L59</f>
        <v>2664</v>
      </c>
      <c r="M60" s="15"/>
      <c r="N60" s="15">
        <f t="shared" si="33"/>
        <v>32.5168</v>
      </c>
      <c r="O60" s="15">
        <f t="shared" si="33"/>
        <v>32.518</v>
      </c>
      <c r="P60" s="25">
        <f>N60-O60</f>
        <v>-0.0011999999999972</v>
      </c>
      <c r="Q60" s="35">
        <f>Q49+Q58+Q59</f>
        <v>28.1079180225</v>
      </c>
      <c r="R60" s="37">
        <f t="shared" si="32"/>
        <v>0.0011999999999972</v>
      </c>
      <c r="S60" s="37">
        <f t="shared" si="29"/>
        <v>-4.4088819775</v>
      </c>
      <c r="T60" s="38"/>
      <c r="U60" s="51"/>
    </row>
    <row r="61" ht="60" spans="1:21">
      <c r="A61" s="6" t="s">
        <v>175</v>
      </c>
      <c r="B61" s="6">
        <v>11</v>
      </c>
      <c r="C61" s="7" t="s">
        <v>176</v>
      </c>
      <c r="D61" s="6" t="s">
        <v>177</v>
      </c>
      <c r="E61" s="8">
        <v>400</v>
      </c>
      <c r="F61" s="8">
        <f>E61</f>
        <v>400</v>
      </c>
      <c r="G61" s="9" t="s">
        <v>178</v>
      </c>
      <c r="H61" s="9" t="s">
        <v>179</v>
      </c>
      <c r="I61" s="9" t="s">
        <v>27</v>
      </c>
      <c r="J61" s="18">
        <v>43313</v>
      </c>
      <c r="K61" s="18">
        <v>43677</v>
      </c>
      <c r="L61" s="6">
        <v>360</v>
      </c>
      <c r="M61" s="15">
        <v>0</v>
      </c>
      <c r="N61" s="15">
        <v>8</v>
      </c>
      <c r="O61" s="15">
        <v>8</v>
      </c>
      <c r="P61" s="25"/>
      <c r="Q61" s="35">
        <f t="shared" si="31"/>
        <v>7.9866</v>
      </c>
      <c r="R61" s="37">
        <f t="shared" si="32"/>
        <v>0</v>
      </c>
      <c r="S61" s="37">
        <f t="shared" si="29"/>
        <v>-0.0133999999999999</v>
      </c>
      <c r="T61" s="38"/>
      <c r="U61" s="44" t="s">
        <v>180</v>
      </c>
    </row>
    <row r="62" ht="27" spans="1:21">
      <c r="A62" s="6"/>
      <c r="B62" s="6"/>
      <c r="C62" s="7" t="s">
        <v>181</v>
      </c>
      <c r="D62" s="6"/>
      <c r="E62" s="8">
        <f>SUM(E61:E61)</f>
        <v>400</v>
      </c>
      <c r="F62" s="8">
        <f>SUM(F61:F61)</f>
        <v>400</v>
      </c>
      <c r="G62" s="9"/>
      <c r="H62" s="9"/>
      <c r="I62" s="9"/>
      <c r="J62" s="18"/>
      <c r="K62" s="18"/>
      <c r="L62" s="6">
        <f>SUM(L61)</f>
        <v>360</v>
      </c>
      <c r="M62" s="15">
        <f t="shared" ref="M62:O62" si="34">SUM(M61:M61)</f>
        <v>0</v>
      </c>
      <c r="N62" s="15">
        <f t="shared" si="34"/>
        <v>8</v>
      </c>
      <c r="O62" s="15">
        <f t="shared" si="34"/>
        <v>8</v>
      </c>
      <c r="P62" s="25">
        <f>N62-O62</f>
        <v>0</v>
      </c>
      <c r="Q62" s="35">
        <f>SUM(Q61:Q61)</f>
        <v>7.9866</v>
      </c>
      <c r="R62" s="37">
        <f t="shared" si="32"/>
        <v>0</v>
      </c>
      <c r="S62" s="37">
        <f t="shared" si="29"/>
        <v>-0.0133999999999999</v>
      </c>
      <c r="T62" s="38"/>
      <c r="U62" s="44"/>
    </row>
    <row r="63" ht="45" spans="1:21">
      <c r="A63" s="5" t="s">
        <v>182</v>
      </c>
      <c r="B63" s="5">
        <v>12</v>
      </c>
      <c r="C63" s="5" t="s">
        <v>183</v>
      </c>
      <c r="D63" s="6" t="s">
        <v>184</v>
      </c>
      <c r="E63" s="8">
        <v>900</v>
      </c>
      <c r="F63" s="8">
        <f>E63</f>
        <v>900</v>
      </c>
      <c r="G63" s="9" t="s">
        <v>185</v>
      </c>
      <c r="H63" s="9" t="s">
        <v>186</v>
      </c>
      <c r="I63" s="9" t="s">
        <v>187</v>
      </c>
      <c r="J63" s="26">
        <v>43313</v>
      </c>
      <c r="K63" s="26">
        <v>43531</v>
      </c>
      <c r="L63" s="6">
        <f t="shared" si="30"/>
        <v>218</v>
      </c>
      <c r="M63" s="15">
        <v>0</v>
      </c>
      <c r="N63" s="15">
        <v>10.88</v>
      </c>
      <c r="O63" s="15">
        <v>10.88</v>
      </c>
      <c r="P63" s="25"/>
      <c r="Q63" s="35">
        <f t="shared" si="31"/>
        <v>10.8817425</v>
      </c>
      <c r="R63" s="37"/>
      <c r="S63" s="37"/>
      <c r="T63" s="38"/>
      <c r="U63" s="44" t="s">
        <v>188</v>
      </c>
    </row>
    <row r="64" ht="60" spans="1:21">
      <c r="A64" s="10"/>
      <c r="B64" s="10"/>
      <c r="C64" s="10"/>
      <c r="D64" s="6" t="s">
        <v>184</v>
      </c>
      <c r="E64" s="8">
        <v>1300</v>
      </c>
      <c r="F64" s="8">
        <v>600</v>
      </c>
      <c r="G64" s="21" t="s">
        <v>189</v>
      </c>
      <c r="H64" s="22" t="s">
        <v>190</v>
      </c>
      <c r="I64" s="9" t="s">
        <v>191</v>
      </c>
      <c r="J64" s="26">
        <v>43313</v>
      </c>
      <c r="K64" s="26">
        <v>43354</v>
      </c>
      <c r="L64" s="6">
        <f t="shared" si="30"/>
        <v>41</v>
      </c>
      <c r="M64" s="15">
        <v>0</v>
      </c>
      <c r="N64" s="15">
        <v>3.03</v>
      </c>
      <c r="O64" s="15">
        <v>3.03</v>
      </c>
      <c r="P64" s="25"/>
      <c r="Q64" s="35">
        <f t="shared" si="31"/>
        <v>1.3643775</v>
      </c>
      <c r="R64" s="37"/>
      <c r="S64" s="37"/>
      <c r="T64" s="38"/>
      <c r="U64" s="44" t="s">
        <v>192</v>
      </c>
    </row>
    <row r="65" ht="60" spans="1:21">
      <c r="A65" s="10"/>
      <c r="B65" s="10"/>
      <c r="C65" s="10"/>
      <c r="D65" s="6"/>
      <c r="E65" s="8"/>
      <c r="F65" s="8">
        <v>700</v>
      </c>
      <c r="G65" s="7"/>
      <c r="H65" s="22" t="s">
        <v>190</v>
      </c>
      <c r="I65" s="9" t="s">
        <v>191</v>
      </c>
      <c r="J65" s="26">
        <v>43313</v>
      </c>
      <c r="K65" s="26">
        <v>43354</v>
      </c>
      <c r="L65" s="6">
        <f t="shared" si="30"/>
        <v>41</v>
      </c>
      <c r="M65" s="15">
        <v>0</v>
      </c>
      <c r="N65" s="15"/>
      <c r="O65" s="15"/>
      <c r="P65" s="25"/>
      <c r="Q65" s="35">
        <f t="shared" si="31"/>
        <v>1.59177375</v>
      </c>
      <c r="R65" s="37"/>
      <c r="S65" s="37"/>
      <c r="T65" s="38"/>
      <c r="U65" s="44"/>
    </row>
    <row r="66" ht="60" spans="1:21">
      <c r="A66" s="10"/>
      <c r="B66" s="10"/>
      <c r="C66" s="10"/>
      <c r="D66" s="6" t="s">
        <v>184</v>
      </c>
      <c r="E66" s="8">
        <v>800</v>
      </c>
      <c r="F66" s="8">
        <v>150</v>
      </c>
      <c r="G66" s="21" t="s">
        <v>193</v>
      </c>
      <c r="H66" s="22" t="s">
        <v>194</v>
      </c>
      <c r="I66" s="9" t="s">
        <v>195</v>
      </c>
      <c r="J66" s="26">
        <v>43313</v>
      </c>
      <c r="K66" s="26">
        <v>43446</v>
      </c>
      <c r="L66" s="6">
        <f t="shared" si="30"/>
        <v>133</v>
      </c>
      <c r="M66" s="15">
        <v>0</v>
      </c>
      <c r="N66" s="15">
        <v>5.95</v>
      </c>
      <c r="O66" s="15">
        <v>5.95</v>
      </c>
      <c r="P66" s="25"/>
      <c r="Q66" s="35">
        <f t="shared" si="31"/>
        <v>1.106476875</v>
      </c>
      <c r="R66" s="37"/>
      <c r="S66" s="37"/>
      <c r="T66" s="38"/>
      <c r="U66" s="44" t="s">
        <v>192</v>
      </c>
    </row>
    <row r="67" ht="60" spans="1:21">
      <c r="A67" s="10"/>
      <c r="B67" s="10"/>
      <c r="C67" s="10"/>
      <c r="D67" s="6"/>
      <c r="E67" s="8"/>
      <c r="F67" s="8">
        <v>500</v>
      </c>
      <c r="G67" s="7"/>
      <c r="H67" s="22" t="s">
        <v>194</v>
      </c>
      <c r="I67" s="9" t="s">
        <v>195</v>
      </c>
      <c r="J67" s="26">
        <v>43313</v>
      </c>
      <c r="K67" s="26">
        <v>43446</v>
      </c>
      <c r="L67" s="6">
        <f t="shared" si="30"/>
        <v>133</v>
      </c>
      <c r="M67" s="15">
        <v>0</v>
      </c>
      <c r="N67" s="15"/>
      <c r="O67" s="15"/>
      <c r="P67" s="25"/>
      <c r="Q67" s="35">
        <f t="shared" si="31"/>
        <v>3.68825625</v>
      </c>
      <c r="R67" s="37"/>
      <c r="S67" s="37"/>
      <c r="T67" s="38"/>
      <c r="U67" s="44"/>
    </row>
    <row r="68" ht="45" spans="1:21">
      <c r="A68" s="10"/>
      <c r="B68" s="10"/>
      <c r="C68" s="10"/>
      <c r="D68" s="6" t="s">
        <v>184</v>
      </c>
      <c r="E68" s="8">
        <v>900</v>
      </c>
      <c r="F68" s="8">
        <f t="shared" ref="F68:F70" si="35">E68</f>
        <v>900</v>
      </c>
      <c r="G68" s="9" t="s">
        <v>196</v>
      </c>
      <c r="H68" s="9" t="s">
        <v>197</v>
      </c>
      <c r="I68" s="9" t="s">
        <v>198</v>
      </c>
      <c r="J68" s="26">
        <v>43531</v>
      </c>
      <c r="K68" s="26">
        <v>43677</v>
      </c>
      <c r="L68" s="6">
        <f t="shared" si="30"/>
        <v>146</v>
      </c>
      <c r="M68" s="15">
        <v>0</v>
      </c>
      <c r="N68" s="15">
        <v>7.29</v>
      </c>
      <c r="O68" s="15">
        <v>7.29</v>
      </c>
      <c r="P68" s="25"/>
      <c r="Q68" s="35">
        <f t="shared" si="31"/>
        <v>7.2877725</v>
      </c>
      <c r="R68" s="37"/>
      <c r="S68" s="37"/>
      <c r="T68" s="38"/>
      <c r="U68" s="44" t="s">
        <v>188</v>
      </c>
    </row>
    <row r="69" ht="45" spans="1:21">
      <c r="A69" s="10"/>
      <c r="B69" s="10"/>
      <c r="C69" s="10"/>
      <c r="D69" s="6" t="s">
        <v>184</v>
      </c>
      <c r="E69" s="8">
        <v>1300</v>
      </c>
      <c r="F69" s="8">
        <f t="shared" si="35"/>
        <v>1300</v>
      </c>
      <c r="G69" s="9" t="s">
        <v>199</v>
      </c>
      <c r="H69" s="9" t="s">
        <v>199</v>
      </c>
      <c r="I69" s="9" t="s">
        <v>200</v>
      </c>
      <c r="J69" s="26">
        <v>43350</v>
      </c>
      <c r="K69" s="26">
        <v>43677</v>
      </c>
      <c r="L69" s="6">
        <f t="shared" si="30"/>
        <v>327</v>
      </c>
      <c r="M69" s="15">
        <v>0</v>
      </c>
      <c r="N69" s="15">
        <v>23.58</v>
      </c>
      <c r="O69" s="15">
        <v>23.58</v>
      </c>
      <c r="P69" s="25"/>
      <c r="Q69" s="35">
        <f t="shared" si="31"/>
        <v>23.57710875</v>
      </c>
      <c r="R69" s="37"/>
      <c r="S69" s="37"/>
      <c r="T69" s="38"/>
      <c r="U69" s="44" t="s">
        <v>192</v>
      </c>
    </row>
    <row r="70" ht="60" spans="1:21">
      <c r="A70" s="10"/>
      <c r="B70" s="10"/>
      <c r="C70" s="11"/>
      <c r="D70" s="6" t="s">
        <v>184</v>
      </c>
      <c r="E70" s="8">
        <v>800</v>
      </c>
      <c r="F70" s="8">
        <f t="shared" si="35"/>
        <v>800</v>
      </c>
      <c r="G70" s="9" t="s">
        <v>201</v>
      </c>
      <c r="H70" s="9" t="s">
        <v>201</v>
      </c>
      <c r="I70" s="9" t="s">
        <v>202</v>
      </c>
      <c r="J70" s="26">
        <v>43447</v>
      </c>
      <c r="K70" s="26">
        <v>43677</v>
      </c>
      <c r="L70" s="6">
        <f t="shared" si="30"/>
        <v>230</v>
      </c>
      <c r="M70" s="15">
        <v>0</v>
      </c>
      <c r="N70" s="15">
        <v>9.98</v>
      </c>
      <c r="O70" s="15">
        <v>9.98</v>
      </c>
      <c r="P70" s="25"/>
      <c r="Q70" s="35">
        <f t="shared" si="31"/>
        <v>10.2051</v>
      </c>
      <c r="R70" s="37"/>
      <c r="S70" s="37"/>
      <c r="T70" s="38"/>
      <c r="U70" s="44" t="s">
        <v>192</v>
      </c>
    </row>
    <row r="71" ht="15.75" spans="1:21">
      <c r="A71" s="11"/>
      <c r="B71" s="11"/>
      <c r="C71" s="7" t="s">
        <v>41</v>
      </c>
      <c r="D71" s="6"/>
      <c r="E71" s="8">
        <f>SUM(E63:E70)</f>
        <v>6000</v>
      </c>
      <c r="F71" s="8">
        <f>SUM(F63:F70)</f>
        <v>5850</v>
      </c>
      <c r="G71" s="9"/>
      <c r="H71" s="9"/>
      <c r="I71" s="9"/>
      <c r="J71" s="26"/>
      <c r="K71" s="26"/>
      <c r="L71" s="6">
        <f t="shared" ref="L71:O71" si="36">SUM(L63:L70)</f>
        <v>1269</v>
      </c>
      <c r="M71" s="15">
        <f t="shared" si="36"/>
        <v>0</v>
      </c>
      <c r="N71" s="15">
        <f t="shared" si="36"/>
        <v>60.71</v>
      </c>
      <c r="O71" s="15">
        <f t="shared" si="36"/>
        <v>60.71</v>
      </c>
      <c r="P71" s="25"/>
      <c r="Q71" s="35">
        <f>SUM(Q63:Q70)</f>
        <v>59.702608125</v>
      </c>
      <c r="R71" s="37">
        <f>O71-N71</f>
        <v>0</v>
      </c>
      <c r="S71" s="37">
        <f>Q71-N71</f>
        <v>-1.007391875</v>
      </c>
      <c r="T71" s="38"/>
      <c r="U71" s="44"/>
    </row>
    <row r="72" ht="60" spans="1:21">
      <c r="A72" s="10" t="s">
        <v>182</v>
      </c>
      <c r="B72" s="6">
        <v>13</v>
      </c>
      <c r="C72" s="7" t="s">
        <v>203</v>
      </c>
      <c r="D72" s="6" t="s">
        <v>204</v>
      </c>
      <c r="E72" s="8">
        <v>1800</v>
      </c>
      <c r="F72" s="8">
        <f t="shared" ref="F72:F77" si="37">E72</f>
        <v>1800</v>
      </c>
      <c r="G72" s="9" t="s">
        <v>205</v>
      </c>
      <c r="H72" s="22" t="s">
        <v>206</v>
      </c>
      <c r="I72" s="9" t="s">
        <v>207</v>
      </c>
      <c r="J72" s="26">
        <v>43313</v>
      </c>
      <c r="K72" s="26">
        <v>43628</v>
      </c>
      <c r="L72" s="6">
        <f t="shared" ref="L72:L78" si="38">K72-J72</f>
        <v>315</v>
      </c>
      <c r="M72" s="15">
        <v>0</v>
      </c>
      <c r="N72" s="15">
        <v>25.96</v>
      </c>
      <c r="O72" s="15">
        <v>25.96</v>
      </c>
      <c r="P72" s="25"/>
      <c r="Q72" s="35">
        <f t="shared" ref="Q72:Q78" si="39">F72*4.35/100*0.459*L72/360</f>
        <v>31.4472375</v>
      </c>
      <c r="R72" s="37"/>
      <c r="S72" s="37"/>
      <c r="T72" s="38"/>
      <c r="U72" s="44" t="s">
        <v>208</v>
      </c>
    </row>
    <row r="73" ht="60" spans="1:21">
      <c r="A73" s="10"/>
      <c r="B73" s="6"/>
      <c r="C73" s="7"/>
      <c r="D73" s="6" t="s">
        <v>204</v>
      </c>
      <c r="E73" s="8">
        <v>1800</v>
      </c>
      <c r="F73" s="8">
        <f t="shared" si="37"/>
        <v>1800</v>
      </c>
      <c r="G73" s="9" t="s">
        <v>209</v>
      </c>
      <c r="H73" s="9" t="s">
        <v>209</v>
      </c>
      <c r="I73" s="9" t="s">
        <v>210</v>
      </c>
      <c r="J73" s="26">
        <v>43629</v>
      </c>
      <c r="K73" s="26">
        <v>43677</v>
      </c>
      <c r="L73" s="6">
        <f t="shared" si="38"/>
        <v>48</v>
      </c>
      <c r="M73" s="15">
        <v>0</v>
      </c>
      <c r="N73" s="15">
        <v>4.79</v>
      </c>
      <c r="O73" s="15">
        <v>4.79</v>
      </c>
      <c r="P73" s="25"/>
      <c r="Q73" s="35">
        <f t="shared" si="39"/>
        <v>4.79196</v>
      </c>
      <c r="R73" s="37"/>
      <c r="S73" s="37"/>
      <c r="T73" s="38"/>
      <c r="U73" s="44" t="s">
        <v>208</v>
      </c>
    </row>
    <row r="74" ht="15.75" spans="1:21">
      <c r="A74" s="10"/>
      <c r="B74" s="6"/>
      <c r="C74" s="7" t="s">
        <v>41</v>
      </c>
      <c r="D74" s="6"/>
      <c r="E74" s="8">
        <f>SUM(E72:E73)</f>
        <v>3600</v>
      </c>
      <c r="F74" s="8">
        <f>SUM(F72:F73)</f>
        <v>3600</v>
      </c>
      <c r="G74" s="9"/>
      <c r="H74" s="9"/>
      <c r="I74" s="9"/>
      <c r="J74" s="26"/>
      <c r="K74" s="26"/>
      <c r="L74" s="6">
        <f t="shared" ref="L74:O74" si="40">SUM(L72:L73)</f>
        <v>363</v>
      </c>
      <c r="M74" s="15">
        <f t="shared" si="40"/>
        <v>0</v>
      </c>
      <c r="N74" s="15">
        <f t="shared" si="40"/>
        <v>30.75</v>
      </c>
      <c r="O74" s="15">
        <f t="shared" si="40"/>
        <v>30.75</v>
      </c>
      <c r="P74" s="25"/>
      <c r="Q74" s="35">
        <f>SUM(Q72:Q73)</f>
        <v>36.2391975</v>
      </c>
      <c r="R74" s="37">
        <f>O74-N74</f>
        <v>0</v>
      </c>
      <c r="S74" s="37">
        <f>Q74-N74</f>
        <v>5.4891975</v>
      </c>
      <c r="T74" s="38"/>
      <c r="U74" s="44"/>
    </row>
    <row r="75" ht="60" spans="1:21">
      <c r="A75" s="10"/>
      <c r="B75" s="6">
        <v>14</v>
      </c>
      <c r="C75" s="7" t="s">
        <v>211</v>
      </c>
      <c r="D75" s="6" t="s">
        <v>212</v>
      </c>
      <c r="E75" s="52">
        <v>95</v>
      </c>
      <c r="F75" s="8">
        <v>70</v>
      </c>
      <c r="G75" s="7" t="s">
        <v>213</v>
      </c>
      <c r="H75" s="9" t="s">
        <v>214</v>
      </c>
      <c r="I75" s="9" t="s">
        <v>215</v>
      </c>
      <c r="J75" s="26">
        <v>43391</v>
      </c>
      <c r="K75" s="26">
        <v>43677</v>
      </c>
      <c r="L75" s="6">
        <f t="shared" si="38"/>
        <v>286</v>
      </c>
      <c r="M75" s="15">
        <v>0</v>
      </c>
      <c r="N75" s="15">
        <v>1.5</v>
      </c>
      <c r="O75" s="15">
        <v>5.38</v>
      </c>
      <c r="P75" s="25"/>
      <c r="Q75" s="35">
        <f t="shared" si="39"/>
        <v>1.11035925</v>
      </c>
      <c r="R75" s="37"/>
      <c r="S75" s="37"/>
      <c r="T75" s="38"/>
      <c r="U75" s="44" t="s">
        <v>216</v>
      </c>
    </row>
    <row r="76" ht="60" spans="1:21">
      <c r="A76" s="10"/>
      <c r="B76" s="6"/>
      <c r="C76" s="7"/>
      <c r="D76" s="6"/>
      <c r="E76" s="52"/>
      <c r="F76" s="8">
        <v>25</v>
      </c>
      <c r="G76" s="7"/>
      <c r="H76" s="9" t="s">
        <v>217</v>
      </c>
      <c r="I76" s="9" t="s">
        <v>218</v>
      </c>
      <c r="J76" s="26">
        <v>43402</v>
      </c>
      <c r="K76" s="26">
        <v>43677</v>
      </c>
      <c r="L76" s="6">
        <f t="shared" si="38"/>
        <v>275</v>
      </c>
      <c r="M76" s="15">
        <v>0</v>
      </c>
      <c r="N76" s="15"/>
      <c r="O76" s="15"/>
      <c r="P76" s="25"/>
      <c r="Q76" s="35">
        <f t="shared" si="39"/>
        <v>0.3813046875</v>
      </c>
      <c r="R76" s="37"/>
      <c r="S76" s="37"/>
      <c r="T76" s="38"/>
      <c r="U76" s="44"/>
    </row>
    <row r="77" ht="84.75" spans="1:21">
      <c r="A77" s="10"/>
      <c r="B77" s="6"/>
      <c r="C77" s="7"/>
      <c r="D77" s="6" t="s">
        <v>219</v>
      </c>
      <c r="E77" s="8">
        <v>155</v>
      </c>
      <c r="F77" s="8">
        <f t="shared" si="37"/>
        <v>155</v>
      </c>
      <c r="G77" s="9" t="s">
        <v>220</v>
      </c>
      <c r="H77" s="9" t="s">
        <v>221</v>
      </c>
      <c r="I77" s="9" t="s">
        <v>222</v>
      </c>
      <c r="J77" s="26">
        <v>43480</v>
      </c>
      <c r="K77" s="26">
        <v>43677</v>
      </c>
      <c r="L77" s="6">
        <f t="shared" si="38"/>
        <v>197</v>
      </c>
      <c r="M77" s="15">
        <v>0</v>
      </c>
      <c r="N77" s="15">
        <v>1.68</v>
      </c>
      <c r="O77" s="15"/>
      <c r="P77" s="25"/>
      <c r="Q77" s="35">
        <f t="shared" si="39"/>
        <v>1.6935474375</v>
      </c>
      <c r="R77" s="37"/>
      <c r="S77" s="37"/>
      <c r="T77" s="38" t="s">
        <v>223</v>
      </c>
      <c r="U77" s="44" t="s">
        <v>224</v>
      </c>
    </row>
    <row r="78" ht="71.25" spans="1:21">
      <c r="A78" s="10"/>
      <c r="B78" s="6"/>
      <c r="C78" s="7"/>
      <c r="D78" s="6" t="s">
        <v>225</v>
      </c>
      <c r="E78" s="8">
        <v>330</v>
      </c>
      <c r="F78" s="8">
        <v>0</v>
      </c>
      <c r="G78" s="9" t="s">
        <v>226</v>
      </c>
      <c r="H78" s="22" t="s">
        <v>227</v>
      </c>
      <c r="I78" s="9" t="s">
        <v>228</v>
      </c>
      <c r="J78" s="26">
        <v>43556</v>
      </c>
      <c r="K78" s="26">
        <v>43677</v>
      </c>
      <c r="L78" s="6">
        <f t="shared" si="38"/>
        <v>121</v>
      </c>
      <c r="M78" s="15">
        <v>0</v>
      </c>
      <c r="N78" s="15">
        <v>2.2</v>
      </c>
      <c r="O78" s="15"/>
      <c r="P78" s="25"/>
      <c r="Q78" s="35">
        <f t="shared" si="39"/>
        <v>0</v>
      </c>
      <c r="R78" s="37"/>
      <c r="S78" s="37"/>
      <c r="T78" s="43" t="s">
        <v>229</v>
      </c>
      <c r="U78" s="44" t="s">
        <v>230</v>
      </c>
    </row>
    <row r="79" ht="15.75" spans="1:21">
      <c r="A79" s="10"/>
      <c r="B79" s="6"/>
      <c r="C79" s="7" t="s">
        <v>41</v>
      </c>
      <c r="D79" s="6"/>
      <c r="E79" s="8">
        <f>SUM(E75:E78)</f>
        <v>580</v>
      </c>
      <c r="F79" s="8">
        <f>SUM(F75:F78)</f>
        <v>250</v>
      </c>
      <c r="G79" s="9"/>
      <c r="H79" s="9"/>
      <c r="I79" s="9"/>
      <c r="J79" s="26"/>
      <c r="K79" s="26"/>
      <c r="L79" s="6">
        <f t="shared" ref="L79:O79" si="41">SUM(L75:L78)</f>
        <v>879</v>
      </c>
      <c r="M79" s="15">
        <f t="shared" si="41"/>
        <v>0</v>
      </c>
      <c r="N79" s="15">
        <f t="shared" si="41"/>
        <v>5.38</v>
      </c>
      <c r="O79" s="15">
        <f t="shared" si="41"/>
        <v>5.38</v>
      </c>
      <c r="P79" s="25"/>
      <c r="Q79" s="35">
        <f>SUM(Q75:Q78)</f>
        <v>3.185211375</v>
      </c>
      <c r="R79" s="37">
        <f>O79-N79</f>
        <v>0</v>
      </c>
      <c r="S79" s="37">
        <f>Q79-N79</f>
        <v>-2.194788625</v>
      </c>
      <c r="T79" s="38"/>
      <c r="U79" s="44"/>
    </row>
    <row r="80" ht="60" spans="1:21">
      <c r="A80" s="10"/>
      <c r="B80" s="5">
        <v>15</v>
      </c>
      <c r="C80" s="5" t="s">
        <v>231</v>
      </c>
      <c r="D80" s="6" t="s">
        <v>232</v>
      </c>
      <c r="E80" s="8">
        <v>6100</v>
      </c>
      <c r="F80" s="8">
        <v>0</v>
      </c>
      <c r="G80" s="9" t="s">
        <v>233</v>
      </c>
      <c r="H80" s="9" t="s">
        <v>234</v>
      </c>
      <c r="I80" s="9" t="s">
        <v>235</v>
      </c>
      <c r="J80" s="26">
        <v>43633</v>
      </c>
      <c r="K80" s="26">
        <v>43677</v>
      </c>
      <c r="L80" s="6">
        <f t="shared" ref="L80:L83" si="42">K80-J80</f>
        <v>44</v>
      </c>
      <c r="M80" s="15">
        <v>0</v>
      </c>
      <c r="N80" s="15">
        <v>15.22</v>
      </c>
      <c r="O80" s="15">
        <v>15.22</v>
      </c>
      <c r="P80" s="25"/>
      <c r="Q80" s="35">
        <f t="shared" ref="Q80:Q83" si="43">F80*4.35/100*0.459*L80/360</f>
        <v>0</v>
      </c>
      <c r="R80" s="37"/>
      <c r="S80" s="37"/>
      <c r="T80" s="43" t="s">
        <v>236</v>
      </c>
      <c r="U80" s="44" t="s">
        <v>237</v>
      </c>
    </row>
    <row r="81" ht="60" spans="1:21">
      <c r="A81" s="10"/>
      <c r="B81" s="10"/>
      <c r="C81" s="10"/>
      <c r="D81" s="6" t="s">
        <v>232</v>
      </c>
      <c r="E81" s="8">
        <v>3000</v>
      </c>
      <c r="F81" s="8">
        <v>3000</v>
      </c>
      <c r="G81" s="9" t="s">
        <v>238</v>
      </c>
      <c r="H81" s="9" t="s">
        <v>238</v>
      </c>
      <c r="I81" s="9" t="s">
        <v>239</v>
      </c>
      <c r="J81" s="26">
        <v>43626</v>
      </c>
      <c r="K81" s="26">
        <v>43677</v>
      </c>
      <c r="L81" s="6">
        <f t="shared" si="42"/>
        <v>51</v>
      </c>
      <c r="M81" s="15">
        <v>0</v>
      </c>
      <c r="N81" s="15">
        <v>8.65</v>
      </c>
      <c r="O81" s="15">
        <v>8.65</v>
      </c>
      <c r="P81" s="25"/>
      <c r="Q81" s="35">
        <f t="shared" si="43"/>
        <v>8.4857625</v>
      </c>
      <c r="R81" s="37"/>
      <c r="S81" s="37"/>
      <c r="T81" s="38"/>
      <c r="U81" s="44" t="s">
        <v>240</v>
      </c>
    </row>
    <row r="82" ht="60" spans="1:21">
      <c r="A82" s="10"/>
      <c r="B82" s="10"/>
      <c r="C82" s="10"/>
      <c r="D82" s="6" t="s">
        <v>232</v>
      </c>
      <c r="E82" s="8">
        <v>6000</v>
      </c>
      <c r="F82" s="8">
        <v>6000</v>
      </c>
      <c r="G82" s="9" t="s">
        <v>241</v>
      </c>
      <c r="H82" s="9" t="s">
        <v>241</v>
      </c>
      <c r="I82" s="9" t="s">
        <v>242</v>
      </c>
      <c r="J82" s="26">
        <v>43644</v>
      </c>
      <c r="K82" s="26">
        <v>43677</v>
      </c>
      <c r="L82" s="6">
        <f t="shared" si="42"/>
        <v>33</v>
      </c>
      <c r="M82" s="15">
        <v>0</v>
      </c>
      <c r="N82" s="15">
        <v>11.31</v>
      </c>
      <c r="O82" s="15">
        <v>11.31</v>
      </c>
      <c r="P82" s="25"/>
      <c r="Q82" s="35">
        <f t="shared" si="43"/>
        <v>10.981575</v>
      </c>
      <c r="R82" s="37"/>
      <c r="S82" s="37"/>
      <c r="T82" s="38"/>
      <c r="U82" s="44" t="s">
        <v>240</v>
      </c>
    </row>
    <row r="83" ht="85.5" spans="1:21">
      <c r="A83" s="10"/>
      <c r="B83" s="10"/>
      <c r="C83" s="11"/>
      <c r="D83" s="6" t="s">
        <v>232</v>
      </c>
      <c r="E83" s="8">
        <v>3750</v>
      </c>
      <c r="F83" s="8">
        <v>0</v>
      </c>
      <c r="G83" s="9" t="s">
        <v>243</v>
      </c>
      <c r="H83" s="9" t="s">
        <v>244</v>
      </c>
      <c r="I83" s="9" t="s">
        <v>245</v>
      </c>
      <c r="J83" s="26">
        <v>43313</v>
      </c>
      <c r="K83" s="26">
        <v>43664</v>
      </c>
      <c r="L83" s="6">
        <f t="shared" si="42"/>
        <v>351</v>
      </c>
      <c r="M83" s="15">
        <v>0</v>
      </c>
      <c r="N83" s="15">
        <v>73.2</v>
      </c>
      <c r="O83" s="15">
        <v>73.2</v>
      </c>
      <c r="P83" s="25"/>
      <c r="Q83" s="35">
        <f t="shared" si="43"/>
        <v>0</v>
      </c>
      <c r="R83" s="37"/>
      <c r="S83" s="37"/>
      <c r="T83" s="43" t="s">
        <v>246</v>
      </c>
      <c r="U83" s="44" t="s">
        <v>247</v>
      </c>
    </row>
    <row r="84" ht="15.75" spans="1:21">
      <c r="A84" s="10"/>
      <c r="B84" s="11"/>
      <c r="C84" s="7" t="s">
        <v>41</v>
      </c>
      <c r="D84" s="6"/>
      <c r="E84" s="8">
        <f>SUM(E80:E83)</f>
        <v>18850</v>
      </c>
      <c r="F84" s="8">
        <f>SUM(F80:F83)</f>
        <v>9000</v>
      </c>
      <c r="G84" s="9"/>
      <c r="H84" s="9"/>
      <c r="I84" s="9"/>
      <c r="J84" s="26"/>
      <c r="K84" s="26"/>
      <c r="L84" s="6">
        <f t="shared" ref="L84:O84" si="44">SUM(L80:L83)</f>
        <v>479</v>
      </c>
      <c r="M84" s="15">
        <f t="shared" si="44"/>
        <v>0</v>
      </c>
      <c r="N84" s="15">
        <f t="shared" si="44"/>
        <v>108.38</v>
      </c>
      <c r="O84" s="15">
        <f t="shared" si="44"/>
        <v>108.38</v>
      </c>
      <c r="P84" s="25"/>
      <c r="Q84" s="35">
        <f>SUM(Q80:Q83)</f>
        <v>19.4673375</v>
      </c>
      <c r="R84" s="37">
        <f>O84-N84</f>
        <v>0</v>
      </c>
      <c r="S84" s="37">
        <f>Q84-N84</f>
        <v>-88.9126625</v>
      </c>
      <c r="T84" s="38"/>
      <c r="U84" s="44"/>
    </row>
    <row r="85" ht="60" spans="1:21">
      <c r="A85" s="10"/>
      <c r="B85" s="5">
        <v>16</v>
      </c>
      <c r="C85" s="53" t="s">
        <v>248</v>
      </c>
      <c r="D85" s="5" t="s">
        <v>249</v>
      </c>
      <c r="E85" s="16">
        <v>400</v>
      </c>
      <c r="F85" s="8">
        <f>3693324.29/10000</f>
        <v>369.332429</v>
      </c>
      <c r="G85" s="5" t="s">
        <v>250</v>
      </c>
      <c r="H85" s="9" t="s">
        <v>251</v>
      </c>
      <c r="I85" s="9" t="s">
        <v>252</v>
      </c>
      <c r="J85" s="26">
        <v>43313</v>
      </c>
      <c r="K85" s="26">
        <v>43410</v>
      </c>
      <c r="L85" s="6">
        <f t="shared" ref="L85:L90" si="45">K85-J85</f>
        <v>97</v>
      </c>
      <c r="M85" s="15">
        <v>0</v>
      </c>
      <c r="N85" s="16">
        <v>1.264545</v>
      </c>
      <c r="O85" s="55">
        <v>1.27</v>
      </c>
      <c r="P85" s="56"/>
      <c r="Q85" s="35">
        <f t="shared" ref="Q85:Q90" si="46">F85*4.35/100*0.459*L85/360</f>
        <v>1.98695768481101</v>
      </c>
      <c r="R85" s="37"/>
      <c r="S85" s="37"/>
      <c r="T85" s="38"/>
      <c r="U85" s="44" t="s">
        <v>253</v>
      </c>
    </row>
    <row r="86" ht="60" spans="1:21">
      <c r="A86" s="10"/>
      <c r="B86" s="10"/>
      <c r="C86" s="10"/>
      <c r="D86" s="10"/>
      <c r="E86" s="17"/>
      <c r="F86" s="8">
        <f>70992/10000</f>
        <v>7.0992</v>
      </c>
      <c r="G86" s="10"/>
      <c r="H86" s="9" t="s">
        <v>254</v>
      </c>
      <c r="I86" s="9" t="s">
        <v>255</v>
      </c>
      <c r="J86" s="26">
        <v>43313</v>
      </c>
      <c r="K86" s="26">
        <v>43391</v>
      </c>
      <c r="L86" s="6">
        <f t="shared" si="45"/>
        <v>78</v>
      </c>
      <c r="M86" s="15">
        <v>0</v>
      </c>
      <c r="N86" s="17"/>
      <c r="O86" s="57"/>
      <c r="P86" s="58"/>
      <c r="Q86" s="35">
        <f t="shared" si="46"/>
        <v>0.03071167164</v>
      </c>
      <c r="R86" s="37"/>
      <c r="S86" s="37"/>
      <c r="T86" s="38"/>
      <c r="U86" s="44"/>
    </row>
    <row r="87" ht="60" spans="1:21">
      <c r="A87" s="10"/>
      <c r="B87" s="10"/>
      <c r="C87" s="10"/>
      <c r="D87" s="10"/>
      <c r="E87" s="17"/>
      <c r="F87" s="8">
        <f>43251/10000</f>
        <v>4.3251</v>
      </c>
      <c r="G87" s="10"/>
      <c r="H87" s="9" t="s">
        <v>256</v>
      </c>
      <c r="I87" s="9" t="s">
        <v>257</v>
      </c>
      <c r="J87" s="26">
        <v>43313</v>
      </c>
      <c r="K87" s="26">
        <v>43389</v>
      </c>
      <c r="L87" s="6">
        <f t="shared" si="45"/>
        <v>76</v>
      </c>
      <c r="M87" s="15">
        <v>0</v>
      </c>
      <c r="N87" s="17"/>
      <c r="O87" s="57"/>
      <c r="P87" s="58"/>
      <c r="Q87" s="35">
        <f t="shared" si="46"/>
        <v>0.018230945265</v>
      </c>
      <c r="R87" s="37"/>
      <c r="S87" s="37"/>
      <c r="T87" s="38"/>
      <c r="U87" s="44"/>
    </row>
    <row r="88" ht="60" spans="1:21">
      <c r="A88" s="10"/>
      <c r="B88" s="10"/>
      <c r="C88" s="10"/>
      <c r="D88" s="10"/>
      <c r="E88" s="17"/>
      <c r="F88" s="8">
        <f>16715/10000</f>
        <v>1.6715</v>
      </c>
      <c r="G88" s="10"/>
      <c r="H88" s="9" t="s">
        <v>258</v>
      </c>
      <c r="I88" s="9" t="s">
        <v>259</v>
      </c>
      <c r="J88" s="26">
        <v>43313</v>
      </c>
      <c r="K88" s="26">
        <v>43381</v>
      </c>
      <c r="L88" s="6">
        <f t="shared" si="45"/>
        <v>68</v>
      </c>
      <c r="M88" s="15">
        <v>0</v>
      </c>
      <c r="N88" s="17"/>
      <c r="O88" s="57"/>
      <c r="P88" s="58"/>
      <c r="Q88" s="35">
        <f t="shared" si="46"/>
        <v>0.006303978675</v>
      </c>
      <c r="R88" s="37"/>
      <c r="S88" s="37"/>
      <c r="T88" s="38"/>
      <c r="U88" s="44"/>
    </row>
    <row r="89" ht="60" spans="1:21">
      <c r="A89" s="11"/>
      <c r="B89" s="11"/>
      <c r="C89" s="11"/>
      <c r="D89" s="11"/>
      <c r="E89" s="19"/>
      <c r="F89" s="8">
        <f>175717.71/10000</f>
        <v>17.571771</v>
      </c>
      <c r="G89" s="11"/>
      <c r="H89" s="9" t="s">
        <v>260</v>
      </c>
      <c r="I89" s="9" t="s">
        <v>261</v>
      </c>
      <c r="J89" s="26">
        <v>43313</v>
      </c>
      <c r="K89" s="26">
        <v>43369</v>
      </c>
      <c r="L89" s="6">
        <f t="shared" si="45"/>
        <v>56</v>
      </c>
      <c r="M89" s="15">
        <v>0</v>
      </c>
      <c r="N89" s="19"/>
      <c r="O89" s="59"/>
      <c r="P89" s="60"/>
      <c r="Q89" s="35">
        <f t="shared" si="46"/>
        <v>0.0545761635489</v>
      </c>
      <c r="R89" s="37"/>
      <c r="S89" s="37"/>
      <c r="T89" s="38"/>
      <c r="U89" s="44"/>
    </row>
    <row r="90" ht="60" spans="1:21">
      <c r="A90" s="10" t="s">
        <v>182</v>
      </c>
      <c r="B90" s="5">
        <v>16</v>
      </c>
      <c r="C90" s="54" t="s">
        <v>248</v>
      </c>
      <c r="D90" s="6" t="s">
        <v>249</v>
      </c>
      <c r="E90" s="8">
        <v>400</v>
      </c>
      <c r="F90" s="8">
        <f t="shared" ref="F90:F93" si="47">E90</f>
        <v>400</v>
      </c>
      <c r="G90" s="9" t="s">
        <v>262</v>
      </c>
      <c r="H90" s="9" t="s">
        <v>263</v>
      </c>
      <c r="I90" s="9" t="s">
        <v>263</v>
      </c>
      <c r="J90" s="26">
        <v>43410</v>
      </c>
      <c r="K90" s="26">
        <v>43677</v>
      </c>
      <c r="L90" s="6">
        <f t="shared" si="45"/>
        <v>267</v>
      </c>
      <c r="M90" s="15">
        <v>0</v>
      </c>
      <c r="N90" s="15">
        <f>5.035995+0.909585</f>
        <v>5.94558</v>
      </c>
      <c r="O90" s="61">
        <v>5.95</v>
      </c>
      <c r="P90" s="62"/>
      <c r="Q90" s="35">
        <f t="shared" si="46"/>
        <v>5.923395</v>
      </c>
      <c r="R90" s="37"/>
      <c r="S90" s="37"/>
      <c r="T90" s="38"/>
      <c r="U90" s="44" t="s">
        <v>264</v>
      </c>
    </row>
    <row r="91" ht="15.75" spans="1:21">
      <c r="A91" s="10"/>
      <c r="B91" s="11"/>
      <c r="C91" s="7" t="s">
        <v>41</v>
      </c>
      <c r="D91" s="6"/>
      <c r="E91" s="8">
        <f>SUM(E85:E90)</f>
        <v>800</v>
      </c>
      <c r="F91" s="8">
        <f>SUM(F85:F90)</f>
        <v>800</v>
      </c>
      <c r="G91" s="9"/>
      <c r="H91" s="9"/>
      <c r="I91" s="9"/>
      <c r="J91" s="26"/>
      <c r="K91" s="26"/>
      <c r="L91" s="6">
        <f t="shared" ref="L91:O91" si="48">SUM(L85:L90)</f>
        <v>642</v>
      </c>
      <c r="M91" s="15">
        <f t="shared" si="48"/>
        <v>0</v>
      </c>
      <c r="N91" s="15">
        <f t="shared" si="48"/>
        <v>7.210125</v>
      </c>
      <c r="O91" s="15">
        <f t="shared" si="48"/>
        <v>7.22</v>
      </c>
      <c r="P91" s="25"/>
      <c r="Q91" s="35">
        <f>SUM(Q85:Q90)</f>
        <v>8.02017544393991</v>
      </c>
      <c r="R91" s="37">
        <f t="shared" ref="R91:R96" si="49">O91-N91</f>
        <v>0.00987500000000097</v>
      </c>
      <c r="S91" s="37">
        <f t="shared" ref="S91:S96" si="50">Q91-N91</f>
        <v>0.810050443939913</v>
      </c>
      <c r="T91" s="38"/>
      <c r="U91" s="44"/>
    </row>
    <row r="92" ht="60" spans="1:21">
      <c r="A92" s="10"/>
      <c r="B92" s="6">
        <v>17</v>
      </c>
      <c r="C92" s="7" t="s">
        <v>265</v>
      </c>
      <c r="D92" s="6" t="s">
        <v>266</v>
      </c>
      <c r="E92" s="8">
        <v>500</v>
      </c>
      <c r="F92" s="8">
        <f t="shared" si="47"/>
        <v>500</v>
      </c>
      <c r="G92" s="9" t="s">
        <v>51</v>
      </c>
      <c r="H92" s="9" t="s">
        <v>267</v>
      </c>
      <c r="I92" s="9" t="s">
        <v>268</v>
      </c>
      <c r="J92" s="26">
        <v>43522</v>
      </c>
      <c r="K92" s="26">
        <v>43677</v>
      </c>
      <c r="L92" s="6">
        <f>K92-J92</f>
        <v>155</v>
      </c>
      <c r="M92" s="15">
        <v>0</v>
      </c>
      <c r="N92" s="15">
        <f>3.2168+1.1369</f>
        <v>4.3537</v>
      </c>
      <c r="O92" s="61">
        <v>4.35</v>
      </c>
      <c r="P92" s="62"/>
      <c r="Q92" s="35">
        <f t="shared" ref="Q92:Q98" si="51">F92*4.35/100*0.459*L92/360</f>
        <v>4.29834375</v>
      </c>
      <c r="R92" s="37"/>
      <c r="S92" s="37"/>
      <c r="T92" s="38"/>
      <c r="U92" s="44" t="s">
        <v>269</v>
      </c>
    </row>
    <row r="93" ht="60" spans="1:21">
      <c r="A93" s="10"/>
      <c r="B93" s="6"/>
      <c r="C93" s="7"/>
      <c r="D93" s="6" t="s">
        <v>266</v>
      </c>
      <c r="E93" s="8">
        <v>480</v>
      </c>
      <c r="F93" s="8">
        <f t="shared" si="47"/>
        <v>480</v>
      </c>
      <c r="G93" s="9" t="s">
        <v>270</v>
      </c>
      <c r="H93" s="9" t="s">
        <v>271</v>
      </c>
      <c r="I93" s="9" t="s">
        <v>272</v>
      </c>
      <c r="J93" s="26">
        <v>43582</v>
      </c>
      <c r="K93" s="26">
        <v>43677</v>
      </c>
      <c r="L93" s="6">
        <f>K93-J93</f>
        <v>95</v>
      </c>
      <c r="M93" s="15">
        <v>0</v>
      </c>
      <c r="N93" s="15">
        <f>1.4908+1.0915</f>
        <v>2.5823</v>
      </c>
      <c r="O93" s="61">
        <v>2.58</v>
      </c>
      <c r="P93" s="62"/>
      <c r="Q93" s="35">
        <f t="shared" si="51"/>
        <v>2.52909</v>
      </c>
      <c r="R93" s="37"/>
      <c r="S93" s="37"/>
      <c r="T93" s="38"/>
      <c r="U93" s="44" t="s">
        <v>273</v>
      </c>
    </row>
    <row r="94" ht="15.75" spans="1:21">
      <c r="A94" s="10"/>
      <c r="B94" s="6"/>
      <c r="C94" s="7" t="s">
        <v>41</v>
      </c>
      <c r="D94" s="6"/>
      <c r="E94" s="8">
        <f>SUM(E92:E93)</f>
        <v>980</v>
      </c>
      <c r="F94" s="8">
        <f>SUM(F92:F93)</f>
        <v>980</v>
      </c>
      <c r="G94" s="9"/>
      <c r="H94" s="9"/>
      <c r="I94" s="9"/>
      <c r="J94" s="9"/>
      <c r="K94" s="26"/>
      <c r="L94" s="6">
        <f t="shared" ref="L94:O94" si="52">SUM(L92:L93)</f>
        <v>250</v>
      </c>
      <c r="M94" s="15">
        <f t="shared" si="52"/>
        <v>0</v>
      </c>
      <c r="N94" s="15">
        <f t="shared" si="52"/>
        <v>6.936</v>
      </c>
      <c r="O94" s="15">
        <f t="shared" si="52"/>
        <v>6.93</v>
      </c>
      <c r="P94" s="25"/>
      <c r="Q94" s="35">
        <f>SUM(Q92:Q93)</f>
        <v>6.82743375</v>
      </c>
      <c r="R94" s="37">
        <f t="shared" si="49"/>
        <v>-0.00600000000000023</v>
      </c>
      <c r="S94" s="37">
        <f t="shared" si="50"/>
        <v>-0.108566250000001</v>
      </c>
      <c r="T94" s="38"/>
      <c r="U94" s="44"/>
    </row>
    <row r="95" ht="27" spans="1:21">
      <c r="A95" s="11"/>
      <c r="B95" s="9"/>
      <c r="C95" s="7" t="s">
        <v>274</v>
      </c>
      <c r="D95" s="6"/>
      <c r="E95" s="8">
        <f>E71+E74+E79+E84+E91+E94</f>
        <v>30810</v>
      </c>
      <c r="F95" s="8">
        <f>F71+F74+F79+F84+F91+F94</f>
        <v>20480</v>
      </c>
      <c r="G95" s="9"/>
      <c r="H95" s="9"/>
      <c r="I95" s="9"/>
      <c r="J95" s="9"/>
      <c r="K95" s="26"/>
      <c r="L95" s="6">
        <f>L71+L74+L79+L84+L91+L94</f>
        <v>3882</v>
      </c>
      <c r="M95" s="15">
        <f>M71+M74+M79+M84+M91+M94</f>
        <v>0</v>
      </c>
      <c r="N95" s="15">
        <f t="shared" ref="N95:Q95" si="53">N94+N91+N84+N79+N74+N71</f>
        <v>219.366125</v>
      </c>
      <c r="O95" s="15">
        <f t="shared" si="53"/>
        <v>219.37</v>
      </c>
      <c r="P95" s="25">
        <f>N95-O95</f>
        <v>-0.00387500000005048</v>
      </c>
      <c r="Q95" s="35">
        <f t="shared" si="53"/>
        <v>133.44196369394</v>
      </c>
      <c r="R95" s="37">
        <f t="shared" si="49"/>
        <v>0.00387500000005048</v>
      </c>
      <c r="S95" s="37">
        <f t="shared" si="50"/>
        <v>-85.9241613060601</v>
      </c>
      <c r="T95" s="38"/>
      <c r="U95" s="44"/>
    </row>
    <row r="96" ht="60" spans="1:21">
      <c r="A96" s="5" t="s">
        <v>275</v>
      </c>
      <c r="B96" s="6">
        <v>18</v>
      </c>
      <c r="C96" s="7" t="s">
        <v>276</v>
      </c>
      <c r="D96" s="6" t="s">
        <v>277</v>
      </c>
      <c r="E96" s="8">
        <v>500</v>
      </c>
      <c r="F96" s="8">
        <f t="shared" ref="F96:F98" si="54">E96</f>
        <v>500</v>
      </c>
      <c r="G96" s="9" t="s">
        <v>278</v>
      </c>
      <c r="H96" s="9" t="s">
        <v>279</v>
      </c>
      <c r="I96" s="9" t="s">
        <v>27</v>
      </c>
      <c r="J96" s="18">
        <v>43313</v>
      </c>
      <c r="K96" s="18">
        <v>43677</v>
      </c>
      <c r="L96" s="6">
        <v>360</v>
      </c>
      <c r="M96" s="15">
        <v>0</v>
      </c>
      <c r="N96" s="15">
        <v>10.1219</v>
      </c>
      <c r="O96" s="61">
        <v>10.1219</v>
      </c>
      <c r="P96" s="62"/>
      <c r="Q96" s="35">
        <f t="shared" si="51"/>
        <v>9.98325</v>
      </c>
      <c r="R96" s="37">
        <f t="shared" si="49"/>
        <v>0</v>
      </c>
      <c r="S96" s="37">
        <f t="shared" si="50"/>
        <v>-0.13865</v>
      </c>
      <c r="T96" s="38"/>
      <c r="U96" s="44" t="s">
        <v>280</v>
      </c>
    </row>
    <row r="97" ht="60" spans="1:21">
      <c r="A97" s="10"/>
      <c r="B97" s="6">
        <v>19</v>
      </c>
      <c r="C97" s="7" t="s">
        <v>281</v>
      </c>
      <c r="D97" s="6" t="s">
        <v>282</v>
      </c>
      <c r="E97" s="8">
        <v>200</v>
      </c>
      <c r="F97" s="8">
        <f t="shared" si="54"/>
        <v>200</v>
      </c>
      <c r="G97" s="9" t="s">
        <v>283</v>
      </c>
      <c r="H97" s="9" t="s">
        <v>284</v>
      </c>
      <c r="I97" s="9" t="s">
        <v>27</v>
      </c>
      <c r="J97" s="18">
        <v>43313</v>
      </c>
      <c r="K97" s="18">
        <v>43677</v>
      </c>
      <c r="L97" s="6">
        <v>360</v>
      </c>
      <c r="M97" s="15">
        <v>0</v>
      </c>
      <c r="N97" s="61">
        <v>4.048762</v>
      </c>
      <c r="O97" s="61">
        <v>10.1201</v>
      </c>
      <c r="P97" s="62"/>
      <c r="Q97" s="35">
        <f t="shared" si="51"/>
        <v>3.9933</v>
      </c>
      <c r="R97" s="37"/>
      <c r="S97" s="37"/>
      <c r="T97" s="63"/>
      <c r="U97" s="44" t="s">
        <v>285</v>
      </c>
    </row>
    <row r="98" ht="60" spans="1:21">
      <c r="A98" s="10"/>
      <c r="B98" s="6"/>
      <c r="C98" s="7"/>
      <c r="D98" s="6" t="s">
        <v>282</v>
      </c>
      <c r="E98" s="8">
        <v>300</v>
      </c>
      <c r="F98" s="8">
        <f t="shared" si="54"/>
        <v>300</v>
      </c>
      <c r="G98" s="9" t="s">
        <v>283</v>
      </c>
      <c r="H98" s="9" t="s">
        <v>286</v>
      </c>
      <c r="I98" s="9" t="s">
        <v>27</v>
      </c>
      <c r="J98" s="18">
        <v>43313</v>
      </c>
      <c r="K98" s="18">
        <v>43677</v>
      </c>
      <c r="L98" s="6">
        <v>360</v>
      </c>
      <c r="M98" s="15">
        <v>0</v>
      </c>
      <c r="N98" s="15">
        <v>6.071343</v>
      </c>
      <c r="O98" s="61"/>
      <c r="P98" s="62"/>
      <c r="Q98" s="35">
        <f t="shared" si="51"/>
        <v>5.98995</v>
      </c>
      <c r="R98" s="37"/>
      <c r="S98" s="37"/>
      <c r="T98" s="63"/>
      <c r="U98" s="44"/>
    </row>
    <row r="99" ht="15.75" spans="1:21">
      <c r="A99" s="10"/>
      <c r="B99" s="6"/>
      <c r="C99" s="7" t="s">
        <v>41</v>
      </c>
      <c r="D99" s="6"/>
      <c r="E99" s="8">
        <f>SUM(E97:E98)</f>
        <v>500</v>
      </c>
      <c r="F99" s="8">
        <f>SUM(F97:F98)</f>
        <v>500</v>
      </c>
      <c r="G99" s="9"/>
      <c r="H99" s="9"/>
      <c r="I99" s="9"/>
      <c r="J99" s="18"/>
      <c r="K99" s="18"/>
      <c r="L99" s="6">
        <f t="shared" ref="L99:Q99" si="55">SUM(L97:L98)</f>
        <v>720</v>
      </c>
      <c r="M99" s="15">
        <f>SUM(M96:M98)</f>
        <v>0</v>
      </c>
      <c r="N99" s="15">
        <f t="shared" si="55"/>
        <v>10.120105</v>
      </c>
      <c r="O99" s="61">
        <f>SUM(O97)</f>
        <v>10.1201</v>
      </c>
      <c r="P99" s="62"/>
      <c r="Q99" s="35">
        <f t="shared" si="55"/>
        <v>9.98325</v>
      </c>
      <c r="R99" s="37">
        <f>O99-N99</f>
        <v>-4.99999999803435e-6</v>
      </c>
      <c r="S99" s="37">
        <f>Q99-N99</f>
        <v>-0.136854999999999</v>
      </c>
      <c r="T99" s="63"/>
      <c r="U99" s="44"/>
    </row>
    <row r="100" ht="85.5" spans="1:21">
      <c r="A100" s="10"/>
      <c r="B100" s="5">
        <v>20</v>
      </c>
      <c r="C100" s="7" t="s">
        <v>287</v>
      </c>
      <c r="D100" s="6" t="s">
        <v>288</v>
      </c>
      <c r="E100" s="8">
        <v>740</v>
      </c>
      <c r="F100" s="8">
        <f t="shared" ref="F100:F104" si="56">E100</f>
        <v>740</v>
      </c>
      <c r="G100" s="9" t="s">
        <v>289</v>
      </c>
      <c r="H100" s="9" t="s">
        <v>290</v>
      </c>
      <c r="I100" s="9" t="s">
        <v>27</v>
      </c>
      <c r="J100" s="18">
        <v>43313</v>
      </c>
      <c r="K100" s="18">
        <v>43677</v>
      </c>
      <c r="L100" s="6">
        <v>360</v>
      </c>
      <c r="M100" s="15">
        <v>0</v>
      </c>
      <c r="N100" s="15">
        <v>14.77</v>
      </c>
      <c r="O100" s="15">
        <v>68.97</v>
      </c>
      <c r="P100" s="25"/>
      <c r="Q100" s="35">
        <f t="shared" ref="Q100:Q106" si="57">F100*4.35/100*0.459*L100/360</f>
        <v>14.77521</v>
      </c>
      <c r="R100" s="37"/>
      <c r="S100" s="37"/>
      <c r="T100" s="43" t="s">
        <v>291</v>
      </c>
      <c r="U100" s="44" t="s">
        <v>292</v>
      </c>
    </row>
    <row r="101" ht="85.5" spans="1:21">
      <c r="A101" s="10"/>
      <c r="B101" s="10"/>
      <c r="C101" s="7"/>
      <c r="D101" s="6" t="s">
        <v>293</v>
      </c>
      <c r="E101" s="8">
        <v>240</v>
      </c>
      <c r="F101" s="8">
        <v>240.39</v>
      </c>
      <c r="G101" s="9" t="s">
        <v>294</v>
      </c>
      <c r="H101" s="9" t="s">
        <v>295</v>
      </c>
      <c r="I101" s="9" t="s">
        <v>296</v>
      </c>
      <c r="J101" s="18">
        <v>43313</v>
      </c>
      <c r="K101" s="18">
        <v>43412</v>
      </c>
      <c r="L101" s="6">
        <f t="shared" ref="L101:L103" si="58">K101-J101</f>
        <v>99</v>
      </c>
      <c r="M101" s="15">
        <v>0</v>
      </c>
      <c r="N101" s="15">
        <v>4.79</v>
      </c>
      <c r="O101" s="15"/>
      <c r="P101" s="25"/>
      <c r="Q101" s="35">
        <f t="shared" si="57"/>
        <v>1.319930407125</v>
      </c>
      <c r="R101" s="37"/>
      <c r="S101" s="37"/>
      <c r="T101" s="43" t="s">
        <v>297</v>
      </c>
      <c r="U101" s="44" t="s">
        <v>298</v>
      </c>
    </row>
    <row r="102" ht="71.25" spans="1:21">
      <c r="A102" s="10"/>
      <c r="B102" s="10"/>
      <c r="C102" s="7"/>
      <c r="D102" s="6" t="s">
        <v>299</v>
      </c>
      <c r="E102" s="8">
        <v>475</v>
      </c>
      <c r="F102" s="8">
        <f t="shared" si="56"/>
        <v>475</v>
      </c>
      <c r="G102" s="9" t="s">
        <v>300</v>
      </c>
      <c r="H102" s="9" t="s">
        <v>301</v>
      </c>
      <c r="I102" s="9" t="s">
        <v>156</v>
      </c>
      <c r="J102" s="18">
        <v>43313</v>
      </c>
      <c r="K102" s="18">
        <v>43615</v>
      </c>
      <c r="L102" s="6">
        <f t="shared" si="58"/>
        <v>302</v>
      </c>
      <c r="M102" s="15">
        <v>0</v>
      </c>
      <c r="N102" s="15">
        <v>9.48</v>
      </c>
      <c r="O102" s="15"/>
      <c r="P102" s="25"/>
      <c r="Q102" s="35">
        <f t="shared" si="57"/>
        <v>7.956095625</v>
      </c>
      <c r="R102" s="37"/>
      <c r="S102" s="37"/>
      <c r="T102" s="38"/>
      <c r="U102" s="44" t="s">
        <v>302</v>
      </c>
    </row>
    <row r="103" ht="60" spans="1:21">
      <c r="A103" s="10"/>
      <c r="B103" s="10"/>
      <c r="C103" s="7"/>
      <c r="D103" s="6" t="s">
        <v>303</v>
      </c>
      <c r="E103" s="8">
        <v>450</v>
      </c>
      <c r="F103" s="8">
        <f t="shared" si="56"/>
        <v>450</v>
      </c>
      <c r="G103" s="9" t="s">
        <v>304</v>
      </c>
      <c r="H103" s="9" t="s">
        <v>305</v>
      </c>
      <c r="I103" s="9" t="s">
        <v>306</v>
      </c>
      <c r="J103" s="18">
        <v>43313</v>
      </c>
      <c r="K103" s="18">
        <v>43552</v>
      </c>
      <c r="L103" s="6">
        <f t="shared" si="58"/>
        <v>239</v>
      </c>
      <c r="M103" s="15">
        <v>0</v>
      </c>
      <c r="N103" s="15">
        <v>8.98</v>
      </c>
      <c r="O103" s="15"/>
      <c r="P103" s="25"/>
      <c r="Q103" s="35">
        <f t="shared" si="57"/>
        <v>5.964991875</v>
      </c>
      <c r="R103" s="37"/>
      <c r="S103" s="37"/>
      <c r="T103" s="38"/>
      <c r="U103" s="45" t="s">
        <v>307</v>
      </c>
    </row>
    <row r="104" ht="60" spans="1:21">
      <c r="A104" s="10"/>
      <c r="B104" s="10"/>
      <c r="C104" s="7"/>
      <c r="D104" s="6" t="s">
        <v>303</v>
      </c>
      <c r="E104" s="8">
        <v>550</v>
      </c>
      <c r="F104" s="8">
        <f t="shared" si="56"/>
        <v>550</v>
      </c>
      <c r="G104" s="9" t="s">
        <v>308</v>
      </c>
      <c r="H104" s="9" t="s">
        <v>309</v>
      </c>
      <c r="I104" s="9" t="s">
        <v>27</v>
      </c>
      <c r="J104" s="18">
        <v>43313</v>
      </c>
      <c r="K104" s="18">
        <v>43677</v>
      </c>
      <c r="L104" s="6">
        <v>360</v>
      </c>
      <c r="M104" s="15">
        <v>0</v>
      </c>
      <c r="N104" s="16">
        <v>10.98</v>
      </c>
      <c r="O104" s="15"/>
      <c r="P104" s="25"/>
      <c r="Q104" s="35">
        <f t="shared" si="57"/>
        <v>10.981575</v>
      </c>
      <c r="R104" s="37"/>
      <c r="S104" s="37"/>
      <c r="T104" s="38"/>
      <c r="U104" s="42"/>
    </row>
    <row r="105" ht="60" spans="1:21">
      <c r="A105" s="10"/>
      <c r="B105" s="10"/>
      <c r="C105" s="7"/>
      <c r="D105" s="5" t="s">
        <v>303</v>
      </c>
      <c r="E105" s="16">
        <v>1000</v>
      </c>
      <c r="F105" s="8">
        <v>1.49</v>
      </c>
      <c r="G105" s="5" t="s">
        <v>310</v>
      </c>
      <c r="H105" s="9" t="s">
        <v>311</v>
      </c>
      <c r="I105" s="9" t="s">
        <v>312</v>
      </c>
      <c r="J105" s="18">
        <v>43313</v>
      </c>
      <c r="K105" s="18">
        <v>43556</v>
      </c>
      <c r="L105" s="6">
        <f>K105-J105</f>
        <v>243</v>
      </c>
      <c r="M105" s="15">
        <v>0</v>
      </c>
      <c r="N105" s="19"/>
      <c r="O105" s="15"/>
      <c r="P105" s="25"/>
      <c r="Q105" s="35">
        <f t="shared" si="57"/>
        <v>0.020081307375</v>
      </c>
      <c r="R105" s="37"/>
      <c r="S105" s="37"/>
      <c r="T105" s="38"/>
      <c r="U105" s="42"/>
    </row>
    <row r="106" ht="60" spans="1:21">
      <c r="A106" s="11"/>
      <c r="B106" s="11"/>
      <c r="C106" s="7"/>
      <c r="D106" s="11"/>
      <c r="E106" s="19"/>
      <c r="F106" s="8">
        <f>E105-F105</f>
        <v>998.51</v>
      </c>
      <c r="G106" s="11"/>
      <c r="H106" s="9" t="s">
        <v>313</v>
      </c>
      <c r="I106" s="9" t="s">
        <v>27</v>
      </c>
      <c r="J106" s="18">
        <v>43313</v>
      </c>
      <c r="K106" s="18">
        <v>43677</v>
      </c>
      <c r="L106" s="6">
        <v>360</v>
      </c>
      <c r="M106" s="15">
        <v>0</v>
      </c>
      <c r="N106" s="15">
        <v>19.97</v>
      </c>
      <c r="O106" s="15"/>
      <c r="P106" s="25"/>
      <c r="Q106" s="35">
        <f t="shared" si="57"/>
        <v>19.936749915</v>
      </c>
      <c r="R106" s="37"/>
      <c r="S106" s="37"/>
      <c r="T106" s="38"/>
      <c r="U106" s="44" t="s">
        <v>307</v>
      </c>
    </row>
    <row r="107" ht="15.75" spans="1:21">
      <c r="A107" s="10" t="s">
        <v>275</v>
      </c>
      <c r="B107" s="9">
        <v>20</v>
      </c>
      <c r="C107" s="7" t="s">
        <v>41</v>
      </c>
      <c r="D107" s="6"/>
      <c r="E107" s="8">
        <f>SUM(E100:E105)</f>
        <v>3455</v>
      </c>
      <c r="F107" s="8">
        <f>SUM(F100:F106)</f>
        <v>3455.39</v>
      </c>
      <c r="G107" s="9"/>
      <c r="H107" s="9"/>
      <c r="I107" s="9"/>
      <c r="J107" s="9"/>
      <c r="K107" s="9"/>
      <c r="L107" s="6">
        <f t="shared" ref="L107:O107" si="59">SUM(L100:L106)</f>
        <v>1963</v>
      </c>
      <c r="M107" s="15">
        <f t="shared" si="59"/>
        <v>0</v>
      </c>
      <c r="N107" s="15">
        <f t="shared" si="59"/>
        <v>68.97</v>
      </c>
      <c r="O107" s="15">
        <f t="shared" si="59"/>
        <v>68.97</v>
      </c>
      <c r="P107" s="25"/>
      <c r="Q107" s="35">
        <f>SUM(Q100:Q106)</f>
        <v>60.9546341295</v>
      </c>
      <c r="R107" s="37">
        <f t="shared" ref="R107:R112" si="60">O107-N107</f>
        <v>0</v>
      </c>
      <c r="S107" s="37">
        <f t="shared" ref="S107:S112" si="61">Q107-N107</f>
        <v>-8.01536587050001</v>
      </c>
      <c r="T107" s="38"/>
      <c r="U107" s="44"/>
    </row>
    <row r="108" ht="85.5" spans="1:21">
      <c r="A108" s="10"/>
      <c r="B108" s="6">
        <v>21</v>
      </c>
      <c r="C108" s="7" t="s">
        <v>314</v>
      </c>
      <c r="D108" s="6" t="s">
        <v>315</v>
      </c>
      <c r="E108" s="8">
        <v>200</v>
      </c>
      <c r="F108" s="8">
        <v>180</v>
      </c>
      <c r="G108" s="9" t="s">
        <v>316</v>
      </c>
      <c r="H108" s="9" t="s">
        <v>317</v>
      </c>
      <c r="I108" s="9" t="s">
        <v>318</v>
      </c>
      <c r="J108" s="18">
        <v>43313</v>
      </c>
      <c r="K108" s="18">
        <v>43677</v>
      </c>
      <c r="L108" s="6">
        <v>360</v>
      </c>
      <c r="M108" s="15">
        <v>0</v>
      </c>
      <c r="N108" s="61">
        <v>4.0487</v>
      </c>
      <c r="O108" s="15">
        <v>12.15</v>
      </c>
      <c r="P108" s="25"/>
      <c r="Q108" s="35">
        <f t="shared" ref="Q108:Q110" si="62">F108*4.35/100*0.459*L108/360</f>
        <v>3.59397</v>
      </c>
      <c r="R108" s="37"/>
      <c r="S108" s="37"/>
      <c r="T108" s="43" t="s">
        <v>291</v>
      </c>
      <c r="U108" s="64" t="s">
        <v>319</v>
      </c>
    </row>
    <row r="109" ht="71.25" spans="1:21">
      <c r="A109" s="10"/>
      <c r="B109" s="6"/>
      <c r="C109" s="7"/>
      <c r="D109" s="6" t="s">
        <v>320</v>
      </c>
      <c r="E109" s="8">
        <v>200</v>
      </c>
      <c r="F109" s="8">
        <f t="shared" ref="F109:F115" si="63">E109</f>
        <v>200</v>
      </c>
      <c r="G109" s="9" t="s">
        <v>321</v>
      </c>
      <c r="H109" s="9" t="s">
        <v>322</v>
      </c>
      <c r="I109" s="9" t="s">
        <v>27</v>
      </c>
      <c r="J109" s="18">
        <v>43313</v>
      </c>
      <c r="K109" s="18">
        <v>43677</v>
      </c>
      <c r="L109" s="6">
        <v>360</v>
      </c>
      <c r="M109" s="15">
        <v>0</v>
      </c>
      <c r="N109" s="15">
        <v>4.0487</v>
      </c>
      <c r="O109" s="15"/>
      <c r="P109" s="25"/>
      <c r="Q109" s="35">
        <f t="shared" si="62"/>
        <v>3.9933</v>
      </c>
      <c r="R109" s="37"/>
      <c r="S109" s="37"/>
      <c r="T109" s="38"/>
      <c r="U109" s="44" t="s">
        <v>323</v>
      </c>
    </row>
    <row r="110" ht="85.5" spans="1:21">
      <c r="A110" s="10"/>
      <c r="B110" s="6"/>
      <c r="C110" s="7"/>
      <c r="D110" s="6" t="s">
        <v>324</v>
      </c>
      <c r="E110" s="8">
        <v>200</v>
      </c>
      <c r="F110" s="8">
        <f t="shared" si="63"/>
        <v>200</v>
      </c>
      <c r="G110" s="9" t="s">
        <v>321</v>
      </c>
      <c r="H110" s="9" t="s">
        <v>325</v>
      </c>
      <c r="I110" s="9" t="s">
        <v>27</v>
      </c>
      <c r="J110" s="18">
        <v>43313</v>
      </c>
      <c r="K110" s="18">
        <v>43677</v>
      </c>
      <c r="L110" s="6">
        <v>360</v>
      </c>
      <c r="M110" s="15">
        <v>0</v>
      </c>
      <c r="N110" s="15">
        <v>4.0487</v>
      </c>
      <c r="O110" s="15"/>
      <c r="P110" s="25"/>
      <c r="Q110" s="35">
        <f t="shared" si="62"/>
        <v>3.9933</v>
      </c>
      <c r="R110" s="37"/>
      <c r="S110" s="37"/>
      <c r="T110" s="38"/>
      <c r="U110" s="44" t="s">
        <v>326</v>
      </c>
    </row>
    <row r="111" ht="15.75" spans="1:21">
      <c r="A111" s="10"/>
      <c r="B111" s="6"/>
      <c r="C111" s="7" t="s">
        <v>41</v>
      </c>
      <c r="D111" s="6"/>
      <c r="E111" s="8">
        <f>SUM(E108:E110)</f>
        <v>600</v>
      </c>
      <c r="F111" s="8">
        <f>SUM(F108:F110)</f>
        <v>580</v>
      </c>
      <c r="G111" s="9"/>
      <c r="H111" s="9"/>
      <c r="I111" s="9"/>
      <c r="J111" s="18"/>
      <c r="K111" s="18"/>
      <c r="L111" s="6">
        <f t="shared" ref="L111:O111" si="64">SUM(L108:L110)</f>
        <v>1080</v>
      </c>
      <c r="M111" s="15">
        <f t="shared" si="64"/>
        <v>0</v>
      </c>
      <c r="N111" s="15">
        <f t="shared" si="64"/>
        <v>12.1461</v>
      </c>
      <c r="O111" s="15">
        <f t="shared" si="64"/>
        <v>12.15</v>
      </c>
      <c r="P111" s="25"/>
      <c r="Q111" s="35">
        <f>SUM(Q108:Q110)</f>
        <v>11.58057</v>
      </c>
      <c r="R111" s="37">
        <f t="shared" si="60"/>
        <v>0.00389999999999979</v>
      </c>
      <c r="S111" s="37">
        <f t="shared" si="61"/>
        <v>-0.565530000000001</v>
      </c>
      <c r="T111" s="38"/>
      <c r="U111" s="44"/>
    </row>
    <row r="112" ht="15.75" spans="1:21">
      <c r="A112" s="11"/>
      <c r="B112" s="9"/>
      <c r="C112" s="7" t="s">
        <v>327</v>
      </c>
      <c r="D112" s="6"/>
      <c r="E112" s="8">
        <f>E111+E107+E99+E96</f>
        <v>5055</v>
      </c>
      <c r="F112" s="8">
        <f>F111+F107+F99+F96</f>
        <v>5035.39</v>
      </c>
      <c r="G112" s="9"/>
      <c r="H112" s="9"/>
      <c r="I112" s="9"/>
      <c r="J112" s="18"/>
      <c r="K112" s="18"/>
      <c r="L112" s="8">
        <f t="shared" ref="L112:O112" si="65">L111+L107+L99+L96</f>
        <v>4123</v>
      </c>
      <c r="M112" s="15">
        <f>M111+M107+M99</f>
        <v>0</v>
      </c>
      <c r="N112" s="15">
        <f t="shared" si="65"/>
        <v>101.358105</v>
      </c>
      <c r="O112" s="15">
        <f t="shared" si="65"/>
        <v>101.362</v>
      </c>
      <c r="P112" s="25">
        <f>N112-O112</f>
        <v>-0.00389500000001419</v>
      </c>
      <c r="Q112" s="35">
        <f>Q111+Q107+Q99+Q96</f>
        <v>92.5017041295</v>
      </c>
      <c r="R112" s="37">
        <f t="shared" si="60"/>
        <v>0.00389500000001419</v>
      </c>
      <c r="S112" s="37">
        <f t="shared" si="61"/>
        <v>-8.85640087050001</v>
      </c>
      <c r="T112" s="38"/>
      <c r="U112" s="44"/>
    </row>
    <row r="113" ht="67.5" spans="1:21">
      <c r="A113" s="5" t="s">
        <v>328</v>
      </c>
      <c r="B113" s="6">
        <v>22</v>
      </c>
      <c r="C113" s="7" t="s">
        <v>329</v>
      </c>
      <c r="D113" s="6" t="s">
        <v>330</v>
      </c>
      <c r="E113" s="8">
        <v>400</v>
      </c>
      <c r="F113" s="8">
        <f t="shared" si="63"/>
        <v>400</v>
      </c>
      <c r="G113" s="9" t="s">
        <v>331</v>
      </c>
      <c r="H113" s="22" t="s">
        <v>332</v>
      </c>
      <c r="I113" s="22" t="s">
        <v>333</v>
      </c>
      <c r="J113" s="18">
        <v>43313</v>
      </c>
      <c r="K113" s="18">
        <v>43353</v>
      </c>
      <c r="L113" s="6">
        <f t="shared" ref="L113:L115" si="66">K113-J113</f>
        <v>40</v>
      </c>
      <c r="M113" s="15">
        <f>SUM(M95:M112)</f>
        <v>0</v>
      </c>
      <c r="N113" s="15">
        <v>0.9761</v>
      </c>
      <c r="O113" s="15">
        <v>0.9761</v>
      </c>
      <c r="P113" s="25"/>
      <c r="Q113" s="35">
        <f t="shared" ref="Q113:Q115" si="67">F113*4.35/100*0.459*L113/360</f>
        <v>0.8874</v>
      </c>
      <c r="R113" s="37"/>
      <c r="S113" s="37"/>
      <c r="T113" s="38"/>
      <c r="U113" s="44" t="s">
        <v>31</v>
      </c>
    </row>
    <row r="114" ht="67.5" spans="1:21">
      <c r="A114" s="10"/>
      <c r="B114" s="6"/>
      <c r="C114" s="7"/>
      <c r="D114" s="6" t="s">
        <v>330</v>
      </c>
      <c r="E114" s="8">
        <v>500</v>
      </c>
      <c r="F114" s="8">
        <f t="shared" si="63"/>
        <v>500</v>
      </c>
      <c r="G114" s="9" t="s">
        <v>334</v>
      </c>
      <c r="H114" s="22" t="s">
        <v>335</v>
      </c>
      <c r="I114" s="9" t="s">
        <v>336</v>
      </c>
      <c r="J114" s="18">
        <v>43313</v>
      </c>
      <c r="K114" s="18">
        <v>43516</v>
      </c>
      <c r="L114" s="6">
        <f t="shared" si="66"/>
        <v>203</v>
      </c>
      <c r="M114" s="15">
        <f>SUM(M113:M113)</f>
        <v>0</v>
      </c>
      <c r="N114" s="15">
        <v>6.0731</v>
      </c>
      <c r="O114" s="15">
        <v>6.0731</v>
      </c>
      <c r="P114" s="25"/>
      <c r="Q114" s="35">
        <f t="shared" si="67"/>
        <v>5.62944375</v>
      </c>
      <c r="R114" s="65"/>
      <c r="S114" s="65"/>
      <c r="T114" s="38"/>
      <c r="U114" s="44" t="s">
        <v>31</v>
      </c>
    </row>
    <row r="115" ht="67.5" spans="1:21">
      <c r="A115" s="10"/>
      <c r="B115" s="6"/>
      <c r="C115" s="7"/>
      <c r="D115" s="6" t="s">
        <v>330</v>
      </c>
      <c r="E115" s="8">
        <v>500</v>
      </c>
      <c r="F115" s="8">
        <f t="shared" si="63"/>
        <v>500</v>
      </c>
      <c r="G115" s="9" t="s">
        <v>337</v>
      </c>
      <c r="H115" s="9" t="s">
        <v>165</v>
      </c>
      <c r="I115" s="9" t="s">
        <v>166</v>
      </c>
      <c r="J115" s="18">
        <v>43609</v>
      </c>
      <c r="K115" s="18">
        <v>43677</v>
      </c>
      <c r="L115" s="6">
        <f t="shared" si="66"/>
        <v>68</v>
      </c>
      <c r="M115" s="15">
        <f>SUM(M113:M114)</f>
        <v>0</v>
      </c>
      <c r="N115" s="15">
        <v>1.8857</v>
      </c>
      <c r="O115" s="15">
        <v>1.8857</v>
      </c>
      <c r="P115" s="25"/>
      <c r="Q115" s="35">
        <f t="shared" si="67"/>
        <v>1.885725</v>
      </c>
      <c r="R115" s="37"/>
      <c r="S115" s="37"/>
      <c r="T115" s="38"/>
      <c r="U115" s="44" t="s">
        <v>338</v>
      </c>
    </row>
    <row r="116" ht="15.75" spans="1:21">
      <c r="A116" s="10"/>
      <c r="B116" s="6"/>
      <c r="C116" s="7" t="s">
        <v>41</v>
      </c>
      <c r="D116" s="6"/>
      <c r="E116" s="8">
        <f>SUM(E113:E115)</f>
        <v>1400</v>
      </c>
      <c r="F116" s="8">
        <f>SUM(F113:F115)</f>
        <v>1400</v>
      </c>
      <c r="G116" s="9"/>
      <c r="H116" s="9"/>
      <c r="I116" s="9"/>
      <c r="J116" s="18"/>
      <c r="K116" s="18"/>
      <c r="L116" s="8">
        <f t="shared" ref="L116:O116" si="68">SUM(L113:L115)</f>
        <v>311</v>
      </c>
      <c r="M116" s="15">
        <f t="shared" si="68"/>
        <v>0</v>
      </c>
      <c r="N116" s="15">
        <f t="shared" si="68"/>
        <v>8.9349</v>
      </c>
      <c r="O116" s="15">
        <f t="shared" si="68"/>
        <v>8.9349</v>
      </c>
      <c r="P116" s="25"/>
      <c r="Q116" s="35">
        <f>SUM(Q113:Q115)</f>
        <v>8.40256875</v>
      </c>
      <c r="R116" s="37">
        <f t="shared" ref="R116:R122" si="69">O116-N116</f>
        <v>0</v>
      </c>
      <c r="S116" s="37">
        <f t="shared" ref="S116:S122" si="70">Q116-N116</f>
        <v>-0.532331249999999</v>
      </c>
      <c r="T116" s="38"/>
      <c r="U116" s="44"/>
    </row>
    <row r="117" ht="73.5" spans="1:21">
      <c r="A117" s="10"/>
      <c r="B117" s="6">
        <v>23</v>
      </c>
      <c r="C117" s="7" t="s">
        <v>339</v>
      </c>
      <c r="D117" s="6" t="s">
        <v>340</v>
      </c>
      <c r="E117" s="8">
        <v>200</v>
      </c>
      <c r="F117" s="8">
        <f t="shared" ref="F117:F119" si="71">E117</f>
        <v>200</v>
      </c>
      <c r="G117" s="9" t="s">
        <v>341</v>
      </c>
      <c r="H117" s="9" t="s">
        <v>342</v>
      </c>
      <c r="I117" s="9" t="s">
        <v>343</v>
      </c>
      <c r="J117" s="18">
        <v>43388</v>
      </c>
      <c r="K117" s="18">
        <v>43677</v>
      </c>
      <c r="L117" s="6">
        <f t="shared" ref="L117:L122" si="72">K117-J117</f>
        <v>289</v>
      </c>
      <c r="M117" s="15">
        <f>SUM(M113:M115)</f>
        <v>0</v>
      </c>
      <c r="N117" s="15">
        <v>3.21</v>
      </c>
      <c r="O117" s="15">
        <v>3.21</v>
      </c>
      <c r="P117" s="25"/>
      <c r="Q117" s="35">
        <f t="shared" ref="Q117:Q120" si="73">F117*4.35/100*0.459*L117/360</f>
        <v>3.2057325</v>
      </c>
      <c r="R117" s="37">
        <f t="shared" si="69"/>
        <v>0</v>
      </c>
      <c r="S117" s="37">
        <f t="shared" si="70"/>
        <v>-0.00426750000000009</v>
      </c>
      <c r="T117" s="43" t="s">
        <v>344</v>
      </c>
      <c r="U117" s="44" t="s">
        <v>345</v>
      </c>
    </row>
    <row r="118" ht="60" spans="1:21">
      <c r="A118" s="10"/>
      <c r="B118" s="6">
        <v>24</v>
      </c>
      <c r="C118" s="7" t="s">
        <v>346</v>
      </c>
      <c r="D118" s="6" t="s">
        <v>347</v>
      </c>
      <c r="E118" s="8">
        <v>200</v>
      </c>
      <c r="F118" s="8">
        <f t="shared" si="71"/>
        <v>200</v>
      </c>
      <c r="G118" s="9" t="s">
        <v>348</v>
      </c>
      <c r="H118" s="22" t="s">
        <v>349</v>
      </c>
      <c r="I118" s="9" t="s">
        <v>27</v>
      </c>
      <c r="J118" s="18">
        <v>43313</v>
      </c>
      <c r="K118" s="18">
        <v>43677</v>
      </c>
      <c r="L118" s="6">
        <v>360</v>
      </c>
      <c r="M118" s="15">
        <f>SUM(M113:M117)</f>
        <v>0</v>
      </c>
      <c r="N118" s="15">
        <v>4.0487</v>
      </c>
      <c r="O118" s="15">
        <v>4.0488</v>
      </c>
      <c r="P118" s="25"/>
      <c r="Q118" s="35">
        <f t="shared" si="73"/>
        <v>3.9933</v>
      </c>
      <c r="R118" s="37"/>
      <c r="S118" s="37"/>
      <c r="T118" s="38"/>
      <c r="U118" s="44" t="s">
        <v>350</v>
      </c>
    </row>
    <row r="119" ht="60" spans="1:21">
      <c r="A119" s="10"/>
      <c r="B119" s="6"/>
      <c r="C119" s="7"/>
      <c r="D119" s="6" t="s">
        <v>347</v>
      </c>
      <c r="E119" s="8">
        <v>290</v>
      </c>
      <c r="F119" s="8">
        <f t="shared" si="71"/>
        <v>290</v>
      </c>
      <c r="G119" s="9" t="s">
        <v>351</v>
      </c>
      <c r="H119" s="9" t="s">
        <v>352</v>
      </c>
      <c r="I119" s="9" t="s">
        <v>353</v>
      </c>
      <c r="J119" s="18">
        <v>43434</v>
      </c>
      <c r="K119" s="18">
        <v>43677</v>
      </c>
      <c r="L119" s="6">
        <f t="shared" si="72"/>
        <v>243</v>
      </c>
      <c r="M119" s="15">
        <f t="shared" ref="M119:M124" si="74">SUM(M113:M118)</f>
        <v>0</v>
      </c>
      <c r="N119" s="15">
        <v>3.9245</v>
      </c>
      <c r="O119" s="15">
        <v>3.9245</v>
      </c>
      <c r="P119" s="25"/>
      <c r="Q119" s="35">
        <f t="shared" si="73"/>
        <v>3.908442375</v>
      </c>
      <c r="R119" s="37"/>
      <c r="S119" s="37"/>
      <c r="T119" s="38"/>
      <c r="U119" s="44" t="s">
        <v>354</v>
      </c>
    </row>
    <row r="120" ht="156.75" spans="1:21">
      <c r="A120" s="10"/>
      <c r="B120" s="6"/>
      <c r="C120" s="7"/>
      <c r="D120" s="13" t="s">
        <v>355</v>
      </c>
      <c r="E120" s="14">
        <v>436.8</v>
      </c>
      <c r="F120" s="8">
        <v>236.8</v>
      </c>
      <c r="G120" s="13" t="s">
        <v>348</v>
      </c>
      <c r="H120" s="9" t="s">
        <v>356</v>
      </c>
      <c r="I120" s="9" t="s">
        <v>27</v>
      </c>
      <c r="J120" s="18">
        <v>43313</v>
      </c>
      <c r="K120" s="18">
        <v>43677</v>
      </c>
      <c r="L120" s="6">
        <v>360</v>
      </c>
      <c r="M120" s="15">
        <f t="shared" si="74"/>
        <v>0</v>
      </c>
      <c r="N120" s="15">
        <v>8.8425</v>
      </c>
      <c r="O120" s="15">
        <v>8.8425</v>
      </c>
      <c r="P120" s="30"/>
      <c r="Q120" s="35">
        <f t="shared" si="73"/>
        <v>4.7280672</v>
      </c>
      <c r="R120" s="37"/>
      <c r="S120" s="37"/>
      <c r="T120" s="38"/>
      <c r="U120" s="44" t="s">
        <v>357</v>
      </c>
    </row>
    <row r="121" ht="15.75" spans="1:21">
      <c r="A121" s="10"/>
      <c r="B121" s="6"/>
      <c r="C121" s="7" t="s">
        <v>41</v>
      </c>
      <c r="D121" s="6"/>
      <c r="E121" s="8">
        <f>SUM(E118:E120)</f>
        <v>926.8</v>
      </c>
      <c r="F121" s="8">
        <f>SUM(F118:F120)</f>
        <v>726.8</v>
      </c>
      <c r="G121" s="9"/>
      <c r="H121" s="9"/>
      <c r="I121" s="9"/>
      <c r="J121" s="18"/>
      <c r="K121" s="18"/>
      <c r="L121" s="8">
        <f t="shared" ref="L121:Q121" si="75">SUM(L118:L120)</f>
        <v>963</v>
      </c>
      <c r="M121" s="15">
        <f t="shared" si="75"/>
        <v>0</v>
      </c>
      <c r="N121" s="15">
        <f t="shared" si="75"/>
        <v>16.8157</v>
      </c>
      <c r="O121" s="15">
        <f t="shared" si="75"/>
        <v>16.8158</v>
      </c>
      <c r="P121" s="35">
        <f t="shared" si="75"/>
        <v>0</v>
      </c>
      <c r="Q121" s="35">
        <f t="shared" si="75"/>
        <v>12.629809575</v>
      </c>
      <c r="R121" s="37">
        <f t="shared" si="69"/>
        <v>9.99999999997669e-5</v>
      </c>
      <c r="S121" s="37">
        <f t="shared" si="70"/>
        <v>-4.185890425</v>
      </c>
      <c r="T121" s="38"/>
      <c r="U121" s="44"/>
    </row>
    <row r="122" ht="60" spans="1:21">
      <c r="A122" s="11"/>
      <c r="B122" s="6">
        <v>25</v>
      </c>
      <c r="C122" s="7" t="s">
        <v>358</v>
      </c>
      <c r="D122" s="6" t="s">
        <v>359</v>
      </c>
      <c r="E122" s="8">
        <v>1400</v>
      </c>
      <c r="F122" s="8">
        <v>0</v>
      </c>
      <c r="G122" s="9" t="s">
        <v>348</v>
      </c>
      <c r="H122" s="9" t="s">
        <v>360</v>
      </c>
      <c r="I122" s="9" t="s">
        <v>361</v>
      </c>
      <c r="J122" s="18">
        <v>43313</v>
      </c>
      <c r="K122" s="18">
        <v>43551</v>
      </c>
      <c r="L122" s="6">
        <f t="shared" si="72"/>
        <v>238</v>
      </c>
      <c r="M122" s="15">
        <f>SUM(M115:M120)</f>
        <v>0</v>
      </c>
      <c r="N122" s="15">
        <v>18.5578</v>
      </c>
      <c r="O122" s="15">
        <v>18.5578</v>
      </c>
      <c r="P122" s="25"/>
      <c r="Q122" s="35">
        <f t="shared" ref="Q122:Q124" si="76">F122*4.35/100*0.459*L122/360</f>
        <v>0</v>
      </c>
      <c r="R122" s="37">
        <f t="shared" si="69"/>
        <v>0</v>
      </c>
      <c r="S122" s="37">
        <f t="shared" si="70"/>
        <v>-18.5578</v>
      </c>
      <c r="T122" s="43" t="s">
        <v>362</v>
      </c>
      <c r="U122" s="44" t="s">
        <v>363</v>
      </c>
    </row>
    <row r="123" ht="60" spans="1:21">
      <c r="A123" s="10" t="s">
        <v>328</v>
      </c>
      <c r="B123" s="6">
        <v>26</v>
      </c>
      <c r="C123" s="7" t="s">
        <v>364</v>
      </c>
      <c r="D123" s="6" t="s">
        <v>365</v>
      </c>
      <c r="E123" s="8">
        <v>200</v>
      </c>
      <c r="F123" s="8">
        <f t="shared" ref="F123:F126" si="77">E123</f>
        <v>200</v>
      </c>
      <c r="G123" s="9" t="s">
        <v>366</v>
      </c>
      <c r="H123" s="9" t="s">
        <v>367</v>
      </c>
      <c r="I123" s="9" t="s">
        <v>27</v>
      </c>
      <c r="J123" s="18">
        <v>43313</v>
      </c>
      <c r="K123" s="18">
        <v>43677</v>
      </c>
      <c r="L123" s="6">
        <v>360</v>
      </c>
      <c r="M123" s="15">
        <f t="shared" si="74"/>
        <v>0</v>
      </c>
      <c r="N123" s="15">
        <v>4.0488</v>
      </c>
      <c r="O123" s="15">
        <v>4.0488</v>
      </c>
      <c r="P123" s="25"/>
      <c r="Q123" s="35">
        <f t="shared" si="76"/>
        <v>3.9933</v>
      </c>
      <c r="R123" s="37"/>
      <c r="S123" s="37"/>
      <c r="T123" s="38"/>
      <c r="U123" s="44" t="s">
        <v>368</v>
      </c>
    </row>
    <row r="124" ht="60" spans="1:21">
      <c r="A124" s="10"/>
      <c r="B124" s="6"/>
      <c r="C124" s="7"/>
      <c r="D124" s="6" t="s">
        <v>365</v>
      </c>
      <c r="E124" s="8">
        <v>100</v>
      </c>
      <c r="F124" s="8">
        <f t="shared" si="77"/>
        <v>100</v>
      </c>
      <c r="G124" s="9" t="s">
        <v>369</v>
      </c>
      <c r="H124" s="9" t="s">
        <v>370</v>
      </c>
      <c r="I124" s="9" t="s">
        <v>103</v>
      </c>
      <c r="J124" s="18">
        <v>43464</v>
      </c>
      <c r="K124" s="18">
        <v>43677</v>
      </c>
      <c r="L124" s="6">
        <f t="shared" ref="L124:L129" si="78">K124-J124</f>
        <v>213</v>
      </c>
      <c r="M124" s="15">
        <f t="shared" si="74"/>
        <v>0</v>
      </c>
      <c r="N124" s="15">
        <v>1.1869</v>
      </c>
      <c r="O124" s="15">
        <v>1.1869</v>
      </c>
      <c r="P124" s="25"/>
      <c r="Q124" s="35">
        <f t="shared" si="76"/>
        <v>1.18135125</v>
      </c>
      <c r="R124" s="37"/>
      <c r="S124" s="37"/>
      <c r="T124" s="38"/>
      <c r="U124" s="44" t="s">
        <v>180</v>
      </c>
    </row>
    <row r="125" ht="15.75" spans="1:21">
      <c r="A125" s="10"/>
      <c r="B125" s="6"/>
      <c r="C125" s="7" t="s">
        <v>41</v>
      </c>
      <c r="D125" s="6"/>
      <c r="E125" s="8">
        <f>SUM(E123:E124)</f>
        <v>300</v>
      </c>
      <c r="F125" s="8">
        <f>SUM(F123:F124)</f>
        <v>300</v>
      </c>
      <c r="G125" s="9"/>
      <c r="H125" s="9"/>
      <c r="I125" s="9"/>
      <c r="J125" s="18"/>
      <c r="K125" s="18"/>
      <c r="L125" s="8">
        <f t="shared" ref="L125:O125" si="79">SUM(L123:L124)</f>
        <v>573</v>
      </c>
      <c r="M125" s="15">
        <f t="shared" si="79"/>
        <v>0</v>
      </c>
      <c r="N125" s="15">
        <f t="shared" si="79"/>
        <v>5.2357</v>
      </c>
      <c r="O125" s="15">
        <f t="shared" si="79"/>
        <v>5.2357</v>
      </c>
      <c r="P125" s="25"/>
      <c r="Q125" s="35">
        <f>SUM(Q123:Q124)</f>
        <v>5.17465125</v>
      </c>
      <c r="R125" s="37">
        <f t="shared" ref="R125:R132" si="80">O125-N125</f>
        <v>0</v>
      </c>
      <c r="S125" s="37">
        <f t="shared" ref="S125:S131" si="81">Q125-N125</f>
        <v>-0.0610487499999994</v>
      </c>
      <c r="T125" s="38"/>
      <c r="U125" s="44"/>
    </row>
    <row r="126" ht="60" spans="1:21">
      <c r="A126" s="10"/>
      <c r="B126" s="6">
        <v>27</v>
      </c>
      <c r="C126" s="7" t="s">
        <v>371</v>
      </c>
      <c r="D126" s="6" t="s">
        <v>372</v>
      </c>
      <c r="E126" s="8">
        <v>300</v>
      </c>
      <c r="F126" s="8">
        <f t="shared" si="77"/>
        <v>300</v>
      </c>
      <c r="G126" s="9" t="s">
        <v>373</v>
      </c>
      <c r="H126" s="9" t="s">
        <v>374</v>
      </c>
      <c r="I126" s="9" t="s">
        <v>375</v>
      </c>
      <c r="J126" s="18">
        <v>43543</v>
      </c>
      <c r="K126" s="18">
        <v>43677</v>
      </c>
      <c r="L126" s="6">
        <f t="shared" si="78"/>
        <v>134</v>
      </c>
      <c r="M126" s="15">
        <v>0</v>
      </c>
      <c r="N126" s="15">
        <v>2.2462</v>
      </c>
      <c r="O126" s="15">
        <v>2.2462</v>
      </c>
      <c r="P126" s="25"/>
      <c r="Q126" s="35">
        <f t="shared" ref="Q126:Q129" si="82">F126*4.35/100*0.459*L126/360</f>
        <v>2.2295925</v>
      </c>
      <c r="R126" s="37">
        <f t="shared" si="80"/>
        <v>0</v>
      </c>
      <c r="S126" s="37">
        <f t="shared" si="81"/>
        <v>-0.0166074999999997</v>
      </c>
      <c r="T126" s="38"/>
      <c r="U126" s="44" t="s">
        <v>376</v>
      </c>
    </row>
    <row r="127" ht="71.25" spans="1:21">
      <c r="A127" s="10"/>
      <c r="B127" s="5">
        <v>28</v>
      </c>
      <c r="C127" s="7" t="s">
        <v>377</v>
      </c>
      <c r="D127" s="5" t="s">
        <v>378</v>
      </c>
      <c r="E127" s="16">
        <v>1000</v>
      </c>
      <c r="F127" s="8">
        <v>800</v>
      </c>
      <c r="G127" s="9" t="s">
        <v>379</v>
      </c>
      <c r="H127" s="9" t="s">
        <v>379</v>
      </c>
      <c r="I127" s="9" t="s">
        <v>27</v>
      </c>
      <c r="J127" s="18">
        <v>43313</v>
      </c>
      <c r="K127" s="18">
        <v>43677</v>
      </c>
      <c r="L127" s="6">
        <v>360</v>
      </c>
      <c r="M127" s="15">
        <v>0</v>
      </c>
      <c r="N127" s="16">
        <v>20.243813</v>
      </c>
      <c r="O127" s="16">
        <v>20.2438</v>
      </c>
      <c r="P127" s="27"/>
      <c r="Q127" s="35">
        <f t="shared" si="82"/>
        <v>15.9732</v>
      </c>
      <c r="R127" s="37"/>
      <c r="S127" s="37"/>
      <c r="T127" s="43" t="s">
        <v>380</v>
      </c>
      <c r="U127" s="66" t="s">
        <v>381</v>
      </c>
    </row>
    <row r="128" ht="71.25" spans="1:21">
      <c r="A128" s="10"/>
      <c r="B128" s="10"/>
      <c r="C128" s="7"/>
      <c r="D128" s="6" t="s">
        <v>378</v>
      </c>
      <c r="E128" s="8">
        <v>800</v>
      </c>
      <c r="F128" s="8">
        <v>0</v>
      </c>
      <c r="G128" s="9" t="s">
        <v>379</v>
      </c>
      <c r="H128" s="9" t="s">
        <v>379</v>
      </c>
      <c r="I128" s="9" t="s">
        <v>27</v>
      </c>
      <c r="J128" s="18">
        <v>43313</v>
      </c>
      <c r="K128" s="18">
        <v>43677</v>
      </c>
      <c r="L128" s="6">
        <v>360</v>
      </c>
      <c r="M128" s="15">
        <v>0</v>
      </c>
      <c r="N128" s="15">
        <v>6.073144</v>
      </c>
      <c r="O128" s="15">
        <v>6.0731</v>
      </c>
      <c r="P128" s="25"/>
      <c r="Q128" s="35">
        <f t="shared" si="82"/>
        <v>0</v>
      </c>
      <c r="R128" s="37"/>
      <c r="S128" s="37"/>
      <c r="T128" s="43" t="s">
        <v>382</v>
      </c>
      <c r="U128" s="66" t="s">
        <v>381</v>
      </c>
    </row>
    <row r="129" ht="67.5" spans="1:21">
      <c r="A129" s="10"/>
      <c r="B129" s="10"/>
      <c r="C129" s="7"/>
      <c r="D129" s="6" t="s">
        <v>378</v>
      </c>
      <c r="E129" s="8">
        <v>950</v>
      </c>
      <c r="F129" s="8">
        <f>E129</f>
        <v>950</v>
      </c>
      <c r="G129" s="9" t="s">
        <v>383</v>
      </c>
      <c r="H129" s="9" t="s">
        <v>383</v>
      </c>
      <c r="I129" s="9" t="s">
        <v>384</v>
      </c>
      <c r="J129" s="18">
        <v>43463</v>
      </c>
      <c r="K129" s="18">
        <v>43677</v>
      </c>
      <c r="L129" s="6">
        <f t="shared" si="78"/>
        <v>214</v>
      </c>
      <c r="M129" s="15">
        <v>0</v>
      </c>
      <c r="N129" s="15">
        <v>11.328216</v>
      </c>
      <c r="O129" s="15">
        <v>11.328216</v>
      </c>
      <c r="P129" s="25"/>
      <c r="Q129" s="35">
        <f t="shared" si="82"/>
        <v>11.27552625</v>
      </c>
      <c r="R129" s="37"/>
      <c r="S129" s="37"/>
      <c r="T129" s="38"/>
      <c r="U129" s="44" t="s">
        <v>385</v>
      </c>
    </row>
    <row r="130" ht="15.75" spans="1:21">
      <c r="A130" s="10"/>
      <c r="B130" s="11"/>
      <c r="C130" s="7" t="s">
        <v>41</v>
      </c>
      <c r="D130" s="6"/>
      <c r="E130" s="8">
        <f>SUM(E127:E129)</f>
        <v>2750</v>
      </c>
      <c r="F130" s="8">
        <f>SUM(F127:F129)</f>
        <v>1750</v>
      </c>
      <c r="G130" s="9"/>
      <c r="H130" s="9"/>
      <c r="I130" s="9"/>
      <c r="J130" s="18"/>
      <c r="K130" s="18"/>
      <c r="L130" s="8">
        <f t="shared" ref="L130:O130" si="83">SUM(L127:L129)</f>
        <v>934</v>
      </c>
      <c r="M130" s="15">
        <f t="shared" si="83"/>
        <v>0</v>
      </c>
      <c r="N130" s="15">
        <f t="shared" si="83"/>
        <v>37.645173</v>
      </c>
      <c r="O130" s="15">
        <f t="shared" si="83"/>
        <v>37.645116</v>
      </c>
      <c r="P130" s="25"/>
      <c r="Q130" s="35">
        <f>SUM(Q127:Q129)</f>
        <v>27.24872625</v>
      </c>
      <c r="R130" s="37">
        <f t="shared" si="80"/>
        <v>-5.69999999981974e-5</v>
      </c>
      <c r="S130" s="37">
        <f t="shared" si="81"/>
        <v>-10.39644675</v>
      </c>
      <c r="T130" s="38"/>
      <c r="U130" s="44"/>
    </row>
    <row r="131" ht="85.5" spans="1:21">
      <c r="A131" s="10"/>
      <c r="B131" s="67">
        <v>29</v>
      </c>
      <c r="C131" s="21" t="s">
        <v>386</v>
      </c>
      <c r="D131" s="67" t="s">
        <v>387</v>
      </c>
      <c r="E131" s="68">
        <v>300</v>
      </c>
      <c r="F131" s="68">
        <v>0</v>
      </c>
      <c r="G131" s="22" t="s">
        <v>388</v>
      </c>
      <c r="H131" s="22" t="s">
        <v>389</v>
      </c>
      <c r="I131" s="22" t="s">
        <v>388</v>
      </c>
      <c r="J131" s="75">
        <v>43434</v>
      </c>
      <c r="K131" s="75">
        <v>43677</v>
      </c>
      <c r="L131" s="67">
        <f t="shared" ref="L131:L134" si="84">K131-J131</f>
        <v>243</v>
      </c>
      <c r="M131" s="76">
        <v>0</v>
      </c>
      <c r="N131" s="76">
        <v>3.96</v>
      </c>
      <c r="O131" s="76">
        <v>3.96</v>
      </c>
      <c r="P131" s="77"/>
      <c r="Q131" s="81">
        <f t="shared" ref="Q131:Q134" si="85">F131*4.35/100*0.459*L131/360</f>
        <v>0</v>
      </c>
      <c r="R131" s="37">
        <f t="shared" si="80"/>
        <v>0</v>
      </c>
      <c r="S131" s="37">
        <f t="shared" si="81"/>
        <v>-3.96</v>
      </c>
      <c r="T131" s="82"/>
      <c r="U131" s="83" t="s">
        <v>390</v>
      </c>
    </row>
    <row r="132" ht="85.5" spans="1:21">
      <c r="A132" s="10"/>
      <c r="B132" s="5">
        <v>30</v>
      </c>
      <c r="C132" s="5" t="s">
        <v>391</v>
      </c>
      <c r="D132" s="5" t="s">
        <v>392</v>
      </c>
      <c r="E132" s="69">
        <v>400</v>
      </c>
      <c r="F132" s="68">
        <v>100</v>
      </c>
      <c r="G132" s="9" t="s">
        <v>393</v>
      </c>
      <c r="H132" s="9" t="s">
        <v>394</v>
      </c>
      <c r="I132" s="9" t="s">
        <v>395</v>
      </c>
      <c r="J132" s="18">
        <v>43313</v>
      </c>
      <c r="K132" s="18">
        <v>43363</v>
      </c>
      <c r="L132" s="67">
        <f t="shared" si="84"/>
        <v>50</v>
      </c>
      <c r="M132" s="76">
        <v>0</v>
      </c>
      <c r="N132" s="16">
        <v>1.2202</v>
      </c>
      <c r="O132" s="16">
        <v>8.0975</v>
      </c>
      <c r="P132" s="27"/>
      <c r="Q132" s="81">
        <f t="shared" si="85"/>
        <v>0.2773125</v>
      </c>
      <c r="R132" s="84">
        <f t="shared" si="80"/>
        <v>6.8773</v>
      </c>
      <c r="S132" s="84">
        <f>Q132+Q133-N132</f>
        <v>5.0470625</v>
      </c>
      <c r="T132" s="43" t="s">
        <v>396</v>
      </c>
      <c r="U132" s="44" t="s">
        <v>397</v>
      </c>
    </row>
    <row r="133" ht="85.5" spans="1:21">
      <c r="A133" s="10"/>
      <c r="B133" s="10"/>
      <c r="C133" s="10"/>
      <c r="D133" s="11"/>
      <c r="E133" s="70"/>
      <c r="F133" s="8">
        <v>300</v>
      </c>
      <c r="G133" s="9" t="s">
        <v>393</v>
      </c>
      <c r="H133" s="9" t="s">
        <v>398</v>
      </c>
      <c r="I133" s="9" t="s">
        <v>27</v>
      </c>
      <c r="J133" s="18">
        <v>43313</v>
      </c>
      <c r="K133" s="18">
        <v>43677</v>
      </c>
      <c r="L133" s="6">
        <v>360</v>
      </c>
      <c r="M133" s="76">
        <v>0</v>
      </c>
      <c r="N133" s="19"/>
      <c r="O133" s="19"/>
      <c r="P133" s="30"/>
      <c r="Q133" s="35">
        <f t="shared" si="85"/>
        <v>5.98995</v>
      </c>
      <c r="R133" s="85"/>
      <c r="S133" s="85"/>
      <c r="T133" s="43" t="s">
        <v>396</v>
      </c>
      <c r="U133" s="44" t="s">
        <v>399</v>
      </c>
    </row>
    <row r="134" ht="45" spans="1:21">
      <c r="A134" s="10"/>
      <c r="B134" s="10"/>
      <c r="C134" s="11"/>
      <c r="D134" s="6" t="s">
        <v>392</v>
      </c>
      <c r="E134" s="8">
        <v>100</v>
      </c>
      <c r="F134" s="8">
        <v>100</v>
      </c>
      <c r="G134" s="9" t="s">
        <v>400</v>
      </c>
      <c r="H134" s="9" t="s">
        <v>401</v>
      </c>
      <c r="I134" s="9" t="s">
        <v>402</v>
      </c>
      <c r="J134" s="18">
        <v>43313</v>
      </c>
      <c r="K134" s="18">
        <v>43532</v>
      </c>
      <c r="L134" s="6">
        <f t="shared" si="84"/>
        <v>219</v>
      </c>
      <c r="M134" s="76">
        <v>0</v>
      </c>
      <c r="N134" s="15">
        <v>8.0975</v>
      </c>
      <c r="O134" s="15">
        <v>1.2202</v>
      </c>
      <c r="P134" s="25"/>
      <c r="Q134" s="35">
        <f t="shared" si="85"/>
        <v>1.21462875</v>
      </c>
      <c r="R134" s="37">
        <f t="shared" ref="R134:R138" si="86">O134-N134</f>
        <v>-6.8773</v>
      </c>
      <c r="S134" s="37">
        <f t="shared" ref="S134:S138" si="87">Q134-N134</f>
        <v>-6.88287125</v>
      </c>
      <c r="T134" s="43" t="s">
        <v>396</v>
      </c>
      <c r="U134" s="44" t="s">
        <v>403</v>
      </c>
    </row>
    <row r="135" ht="15.75" spans="1:21">
      <c r="A135" s="10"/>
      <c r="B135" s="11"/>
      <c r="C135" s="7" t="s">
        <v>41</v>
      </c>
      <c r="D135" s="6"/>
      <c r="E135" s="8">
        <f>SUM(E132:E134)</f>
        <v>500</v>
      </c>
      <c r="F135" s="8">
        <f>SUM(F132:F134)</f>
        <v>500</v>
      </c>
      <c r="G135" s="9"/>
      <c r="H135" s="9"/>
      <c r="I135" s="9"/>
      <c r="J135" s="18"/>
      <c r="K135" s="18"/>
      <c r="L135" s="8">
        <f>SUM(L133:L134)</f>
        <v>579</v>
      </c>
      <c r="M135" s="15">
        <f t="shared" ref="M135:O135" si="88">SUM(M132:M134)</f>
        <v>0</v>
      </c>
      <c r="N135" s="15">
        <f t="shared" si="88"/>
        <v>9.3177</v>
      </c>
      <c r="O135" s="15">
        <f t="shared" si="88"/>
        <v>9.3177</v>
      </c>
      <c r="P135" s="25"/>
      <c r="Q135" s="35">
        <f>SUM(Q132:Q134)</f>
        <v>7.48189125</v>
      </c>
      <c r="R135" s="37">
        <f t="shared" si="86"/>
        <v>0</v>
      </c>
      <c r="S135" s="37">
        <f t="shared" si="87"/>
        <v>-1.83580875</v>
      </c>
      <c r="T135" s="38"/>
      <c r="U135" s="44"/>
    </row>
    <row r="136" ht="60" spans="1:21">
      <c r="A136" s="10"/>
      <c r="B136" s="6">
        <v>31</v>
      </c>
      <c r="C136" s="7" t="s">
        <v>404</v>
      </c>
      <c r="D136" s="6" t="s">
        <v>405</v>
      </c>
      <c r="E136" s="8">
        <v>200</v>
      </c>
      <c r="F136" s="8">
        <f>E136</f>
        <v>200</v>
      </c>
      <c r="G136" s="9" t="s">
        <v>406</v>
      </c>
      <c r="H136" s="9" t="s">
        <v>407</v>
      </c>
      <c r="I136" s="9" t="s">
        <v>353</v>
      </c>
      <c r="J136" s="18">
        <v>43434</v>
      </c>
      <c r="K136" s="18">
        <v>43677</v>
      </c>
      <c r="L136" s="6">
        <f t="shared" ref="L136:L141" si="89">K136-J136</f>
        <v>243</v>
      </c>
      <c r="M136" s="76">
        <v>0</v>
      </c>
      <c r="N136" s="15">
        <v>2.6955</v>
      </c>
      <c r="O136" s="15">
        <v>2.6955</v>
      </c>
      <c r="P136" s="25"/>
      <c r="Q136" s="35">
        <f t="shared" ref="Q136:Q143" si="90">F136*4.35/100*0.459*L136/360</f>
        <v>2.6954775</v>
      </c>
      <c r="R136" s="37"/>
      <c r="S136" s="37"/>
      <c r="T136" s="38"/>
      <c r="U136" s="44" t="s">
        <v>216</v>
      </c>
    </row>
    <row r="137" ht="84" spans="1:21">
      <c r="A137" s="10"/>
      <c r="B137" s="6"/>
      <c r="C137" s="7"/>
      <c r="D137" s="6" t="s">
        <v>408</v>
      </c>
      <c r="E137" s="8">
        <v>248</v>
      </c>
      <c r="F137" s="8">
        <f>E137</f>
        <v>248</v>
      </c>
      <c r="G137" s="9" t="s">
        <v>162</v>
      </c>
      <c r="H137" s="9" t="s">
        <v>409</v>
      </c>
      <c r="I137" s="9" t="s">
        <v>27</v>
      </c>
      <c r="J137" s="18">
        <v>43313</v>
      </c>
      <c r="K137" s="18">
        <v>43677</v>
      </c>
      <c r="L137" s="6">
        <v>360</v>
      </c>
      <c r="M137" s="76">
        <v>0</v>
      </c>
      <c r="N137" s="15">
        <v>5.0205</v>
      </c>
      <c r="O137" s="15">
        <v>5.0205</v>
      </c>
      <c r="P137" s="25"/>
      <c r="Q137" s="35">
        <f t="shared" si="90"/>
        <v>4.951692</v>
      </c>
      <c r="R137" s="37"/>
      <c r="S137" s="37"/>
      <c r="T137" s="43" t="s">
        <v>410</v>
      </c>
      <c r="U137" s="44" t="s">
        <v>411</v>
      </c>
    </row>
    <row r="138" ht="15.75" spans="1:21">
      <c r="A138" s="11"/>
      <c r="B138" s="6"/>
      <c r="C138" s="7" t="s">
        <v>41</v>
      </c>
      <c r="D138" s="6"/>
      <c r="E138" s="8">
        <f>SUM(E136:E137)</f>
        <v>448</v>
      </c>
      <c r="F138" s="8">
        <f>SUM(F136:F137)</f>
        <v>448</v>
      </c>
      <c r="G138" s="9"/>
      <c r="H138" s="9"/>
      <c r="I138" s="9"/>
      <c r="J138" s="18"/>
      <c r="K138" s="18"/>
      <c r="L138" s="8">
        <f t="shared" ref="L138:O138" si="91">SUM(L136:L137)</f>
        <v>603</v>
      </c>
      <c r="M138" s="15">
        <f t="shared" si="91"/>
        <v>0</v>
      </c>
      <c r="N138" s="15">
        <f t="shared" si="91"/>
        <v>7.716</v>
      </c>
      <c r="O138" s="15">
        <f t="shared" si="91"/>
        <v>7.716</v>
      </c>
      <c r="P138" s="25"/>
      <c r="Q138" s="35">
        <f>SUM(Q136:Q137)</f>
        <v>7.6471695</v>
      </c>
      <c r="R138" s="37">
        <f t="shared" si="86"/>
        <v>0</v>
      </c>
      <c r="S138" s="37">
        <f t="shared" si="87"/>
        <v>-0.0688304999999998</v>
      </c>
      <c r="T138" s="38"/>
      <c r="U138" s="44"/>
    </row>
    <row r="139" ht="60" spans="1:21">
      <c r="A139" s="10" t="s">
        <v>328</v>
      </c>
      <c r="B139" s="5">
        <v>32</v>
      </c>
      <c r="C139" s="7" t="s">
        <v>412</v>
      </c>
      <c r="D139" s="5" t="s">
        <v>413</v>
      </c>
      <c r="E139" s="16">
        <v>450</v>
      </c>
      <c r="F139" s="8">
        <f>E139-F140-F141</f>
        <v>24.434053</v>
      </c>
      <c r="G139" s="5" t="s">
        <v>414</v>
      </c>
      <c r="H139" s="9" t="s">
        <v>415</v>
      </c>
      <c r="I139" s="9" t="s">
        <v>415</v>
      </c>
      <c r="J139" s="18">
        <v>43372</v>
      </c>
      <c r="K139" s="18">
        <v>43544</v>
      </c>
      <c r="L139" s="6">
        <f t="shared" si="89"/>
        <v>172</v>
      </c>
      <c r="M139" s="78">
        <v>0</v>
      </c>
      <c r="N139" s="16">
        <v>7.7121</v>
      </c>
      <c r="O139" s="16">
        <v>7.7121</v>
      </c>
      <c r="P139" s="27"/>
      <c r="Q139" s="35">
        <f t="shared" si="90"/>
        <v>0.23308987029615</v>
      </c>
      <c r="R139" s="37"/>
      <c r="S139" s="37"/>
      <c r="T139" s="38"/>
      <c r="U139" s="45" t="s">
        <v>416</v>
      </c>
    </row>
    <row r="140" ht="60" spans="1:21">
      <c r="A140" s="10"/>
      <c r="B140" s="10"/>
      <c r="C140" s="7"/>
      <c r="D140" s="10"/>
      <c r="E140" s="17"/>
      <c r="F140" s="8">
        <f>255659.47/10000</f>
        <v>25.565947</v>
      </c>
      <c r="G140" s="10"/>
      <c r="H140" s="9" t="s">
        <v>417</v>
      </c>
      <c r="I140" s="9" t="s">
        <v>417</v>
      </c>
      <c r="J140" s="18">
        <v>43372</v>
      </c>
      <c r="K140" s="18">
        <v>43550</v>
      </c>
      <c r="L140" s="6">
        <f t="shared" si="89"/>
        <v>178</v>
      </c>
      <c r="M140" s="79"/>
      <c r="N140" s="17"/>
      <c r="O140" s="17"/>
      <c r="P140" s="28"/>
      <c r="Q140" s="35">
        <f t="shared" si="90"/>
        <v>0.252395337716775</v>
      </c>
      <c r="R140" s="37"/>
      <c r="S140" s="37"/>
      <c r="T140" s="38"/>
      <c r="U140" s="46"/>
    </row>
    <row r="141" ht="60" spans="1:21">
      <c r="A141" s="10"/>
      <c r="B141" s="10"/>
      <c r="C141" s="7"/>
      <c r="D141" s="11"/>
      <c r="E141" s="19"/>
      <c r="F141" s="8">
        <v>400</v>
      </c>
      <c r="G141" s="11"/>
      <c r="H141" s="9" t="s">
        <v>418</v>
      </c>
      <c r="I141" s="9" t="s">
        <v>419</v>
      </c>
      <c r="J141" s="18">
        <v>43372</v>
      </c>
      <c r="K141" s="18">
        <v>43677</v>
      </c>
      <c r="L141" s="6">
        <f t="shared" si="89"/>
        <v>305</v>
      </c>
      <c r="M141" s="80"/>
      <c r="N141" s="19"/>
      <c r="O141" s="19"/>
      <c r="P141" s="30"/>
      <c r="Q141" s="35">
        <f t="shared" si="90"/>
        <v>6.766425</v>
      </c>
      <c r="R141" s="37"/>
      <c r="S141" s="37"/>
      <c r="T141" s="38"/>
      <c r="U141" s="42"/>
    </row>
    <row r="142" ht="57" spans="1:21">
      <c r="A142" s="10"/>
      <c r="B142" s="10"/>
      <c r="C142" s="7"/>
      <c r="D142" s="6" t="s">
        <v>420</v>
      </c>
      <c r="E142" s="8">
        <v>360</v>
      </c>
      <c r="F142" s="8">
        <v>355</v>
      </c>
      <c r="G142" s="9" t="s">
        <v>148</v>
      </c>
      <c r="H142" s="9" t="s">
        <v>421</v>
      </c>
      <c r="I142" s="9" t="s">
        <v>27</v>
      </c>
      <c r="J142" s="18">
        <v>43313</v>
      </c>
      <c r="K142" s="18">
        <v>43677</v>
      </c>
      <c r="L142" s="6">
        <v>360</v>
      </c>
      <c r="M142" s="76">
        <v>0</v>
      </c>
      <c r="N142" s="15">
        <v>7.2878</v>
      </c>
      <c r="O142" s="15">
        <v>7.2878</v>
      </c>
      <c r="P142" s="25"/>
      <c r="Q142" s="35">
        <f t="shared" si="90"/>
        <v>7.0881075</v>
      </c>
      <c r="R142" s="37"/>
      <c r="S142" s="37"/>
      <c r="T142" s="38"/>
      <c r="U142" s="44" t="s">
        <v>422</v>
      </c>
    </row>
    <row r="143" ht="45" spans="1:21">
      <c r="A143" s="10"/>
      <c r="B143" s="10"/>
      <c r="C143" s="7"/>
      <c r="D143" s="6" t="s">
        <v>420</v>
      </c>
      <c r="E143" s="8">
        <v>280</v>
      </c>
      <c r="F143" s="8">
        <v>275</v>
      </c>
      <c r="G143" s="9" t="s">
        <v>423</v>
      </c>
      <c r="H143" s="9" t="s">
        <v>424</v>
      </c>
      <c r="I143" s="9" t="s">
        <v>27</v>
      </c>
      <c r="J143" s="18">
        <v>43313</v>
      </c>
      <c r="K143" s="18">
        <v>43677</v>
      </c>
      <c r="L143" s="6">
        <v>360</v>
      </c>
      <c r="M143" s="76">
        <v>0</v>
      </c>
      <c r="N143" s="15">
        <v>5.6683</v>
      </c>
      <c r="O143" s="15">
        <v>5.6683</v>
      </c>
      <c r="P143" s="25"/>
      <c r="Q143" s="35">
        <f t="shared" si="90"/>
        <v>5.4907875</v>
      </c>
      <c r="R143" s="37"/>
      <c r="S143" s="37"/>
      <c r="T143" s="38"/>
      <c r="U143" s="44" t="s">
        <v>425</v>
      </c>
    </row>
    <row r="144" ht="15.75" spans="1:21">
      <c r="A144" s="10"/>
      <c r="B144" s="11"/>
      <c r="C144" s="7" t="s">
        <v>41</v>
      </c>
      <c r="D144" s="6"/>
      <c r="E144" s="8">
        <f>SUM(E139:E143)</f>
        <v>1090</v>
      </c>
      <c r="F144" s="8">
        <f>SUM(F139:F143)</f>
        <v>1080</v>
      </c>
      <c r="G144" s="9"/>
      <c r="H144" s="9"/>
      <c r="I144" s="9"/>
      <c r="J144" s="18"/>
      <c r="K144" s="18"/>
      <c r="L144" s="8">
        <f t="shared" ref="L144:O144" si="92">SUM(L139:L143)</f>
        <v>1375</v>
      </c>
      <c r="M144" s="15">
        <f t="shared" si="92"/>
        <v>0</v>
      </c>
      <c r="N144" s="15">
        <f t="shared" si="92"/>
        <v>20.6682</v>
      </c>
      <c r="O144" s="15">
        <f t="shared" si="92"/>
        <v>20.6682</v>
      </c>
      <c r="P144" s="25"/>
      <c r="Q144" s="35">
        <f>SUM(Q139:Q143)</f>
        <v>19.8308052080129</v>
      </c>
      <c r="R144" s="37">
        <f t="shared" ref="R144:R146" si="93">O144-N144</f>
        <v>0</v>
      </c>
      <c r="S144" s="37">
        <f t="shared" ref="S144:S146" si="94">Q144-N144</f>
        <v>-0.837394791987077</v>
      </c>
      <c r="T144" s="38"/>
      <c r="U144" s="44"/>
    </row>
    <row r="145" ht="60" spans="1:21">
      <c r="A145" s="10"/>
      <c r="B145" s="6">
        <v>33</v>
      </c>
      <c r="C145" s="7" t="s">
        <v>426</v>
      </c>
      <c r="D145" s="6" t="s">
        <v>420</v>
      </c>
      <c r="E145" s="8">
        <v>390</v>
      </c>
      <c r="F145" s="8">
        <f>E145</f>
        <v>390</v>
      </c>
      <c r="G145" s="9" t="s">
        <v>369</v>
      </c>
      <c r="H145" s="9" t="s">
        <v>427</v>
      </c>
      <c r="I145" s="18" t="s">
        <v>384</v>
      </c>
      <c r="J145" s="18">
        <v>43463</v>
      </c>
      <c r="K145" s="18">
        <v>43677</v>
      </c>
      <c r="L145" s="6">
        <f>K145-J145</f>
        <v>214</v>
      </c>
      <c r="M145" s="76">
        <v>0</v>
      </c>
      <c r="N145" s="15">
        <v>5.148</v>
      </c>
      <c r="O145" s="15">
        <v>5.148</v>
      </c>
      <c r="P145" s="25"/>
      <c r="Q145" s="35">
        <f t="shared" ref="Q145:Q148" si="95">F145*4.35/100*0.459*L145/360</f>
        <v>4.62890025</v>
      </c>
      <c r="R145" s="37">
        <f t="shared" si="93"/>
        <v>0</v>
      </c>
      <c r="S145" s="37">
        <f t="shared" si="94"/>
        <v>-0.519099750000001</v>
      </c>
      <c r="T145" s="38"/>
      <c r="U145" s="44" t="s">
        <v>422</v>
      </c>
    </row>
    <row r="146" ht="27" spans="1:21">
      <c r="A146" s="11"/>
      <c r="B146" s="6"/>
      <c r="C146" s="7" t="s">
        <v>428</v>
      </c>
      <c r="D146" s="6"/>
      <c r="E146" s="8">
        <f>E116+E117+E121+E122+E125+E126+E130+E131+E135+E138+E144+E145</f>
        <v>10004.8</v>
      </c>
      <c r="F146" s="8">
        <f>F116+F117+F121+F122+F125+F126+F130+F131+F135+F138+F144+F145</f>
        <v>7094.8</v>
      </c>
      <c r="G146" s="8"/>
      <c r="H146" s="9"/>
      <c r="I146" s="18"/>
      <c r="J146" s="18"/>
      <c r="K146" s="18"/>
      <c r="L146" s="8">
        <f t="shared" ref="L146:O146" si="96">L116+L117+L121+L122+L125+L126+L130+L131+L135+L138+L144+L145</f>
        <v>6456</v>
      </c>
      <c r="M146" s="15">
        <f t="shared" si="96"/>
        <v>0</v>
      </c>
      <c r="N146" s="15">
        <f t="shared" si="96"/>
        <v>139.455373</v>
      </c>
      <c r="O146" s="15">
        <f t="shared" si="96"/>
        <v>139.455416</v>
      </c>
      <c r="P146" s="25">
        <f>N146-O146</f>
        <v>-4.30000000051223e-5</v>
      </c>
      <c r="Q146" s="35">
        <f>Q116+Q117+Q121+Q122+Q125+Q126+Q130+Q131+Q135+Q138+Q144+Q145</f>
        <v>98.4798470330129</v>
      </c>
      <c r="R146" s="37">
        <f t="shared" si="93"/>
        <v>4.30000000051223e-5</v>
      </c>
      <c r="S146" s="37">
        <f t="shared" si="94"/>
        <v>-40.975525966987</v>
      </c>
      <c r="T146" s="38"/>
      <c r="U146" s="44"/>
    </row>
    <row r="147" ht="85.5" spans="1:21">
      <c r="A147" s="5" t="s">
        <v>429</v>
      </c>
      <c r="B147" s="6">
        <v>34</v>
      </c>
      <c r="C147" s="7" t="s">
        <v>430</v>
      </c>
      <c r="D147" s="6" t="s">
        <v>431</v>
      </c>
      <c r="E147" s="8">
        <v>900</v>
      </c>
      <c r="F147" s="8">
        <f>E147</f>
        <v>900</v>
      </c>
      <c r="G147" s="9" t="s">
        <v>432</v>
      </c>
      <c r="H147" s="9" t="s">
        <v>433</v>
      </c>
      <c r="I147" s="9" t="s">
        <v>27</v>
      </c>
      <c r="J147" s="18">
        <v>43313</v>
      </c>
      <c r="K147" s="18">
        <v>43677</v>
      </c>
      <c r="L147" s="6">
        <v>360</v>
      </c>
      <c r="M147" s="15">
        <v>0</v>
      </c>
      <c r="N147" s="15">
        <v>199.6</v>
      </c>
      <c r="O147" s="61">
        <v>199.6</v>
      </c>
      <c r="P147" s="62"/>
      <c r="Q147" s="35">
        <f t="shared" si="95"/>
        <v>17.96985</v>
      </c>
      <c r="R147" s="37"/>
      <c r="S147" s="37"/>
      <c r="T147" s="38"/>
      <c r="U147" s="44" t="s">
        <v>434</v>
      </c>
    </row>
    <row r="148" ht="60" spans="1:21">
      <c r="A148" s="10"/>
      <c r="B148" s="6"/>
      <c r="C148" s="7"/>
      <c r="D148" s="5" t="s">
        <v>431</v>
      </c>
      <c r="E148" s="16">
        <v>9100</v>
      </c>
      <c r="F148" s="8">
        <f>3240+5294.76228</f>
        <v>8534.76228</v>
      </c>
      <c r="G148" s="5" t="s">
        <v>432</v>
      </c>
      <c r="H148" s="9" t="s">
        <v>433</v>
      </c>
      <c r="I148" s="9" t="s">
        <v>27</v>
      </c>
      <c r="J148" s="18">
        <v>43313</v>
      </c>
      <c r="K148" s="18">
        <v>43677</v>
      </c>
      <c r="L148" s="6">
        <v>360</v>
      </c>
      <c r="M148" s="15">
        <v>0</v>
      </c>
      <c r="N148" s="15"/>
      <c r="O148" s="61"/>
      <c r="P148" s="62"/>
      <c r="Q148" s="35">
        <f t="shared" si="95"/>
        <v>170.40933106362</v>
      </c>
      <c r="R148" s="37"/>
      <c r="S148" s="37"/>
      <c r="T148" s="38"/>
      <c r="U148" s="44" t="s">
        <v>435</v>
      </c>
    </row>
    <row r="149" ht="15.75" spans="1:21">
      <c r="A149" s="10"/>
      <c r="B149" s="6"/>
      <c r="C149" s="7" t="s">
        <v>41</v>
      </c>
      <c r="D149" s="6"/>
      <c r="E149" s="8">
        <f>SUM(E147:E148)</f>
        <v>10000</v>
      </c>
      <c r="F149" s="8">
        <f>SUM(F147:F148)</f>
        <v>9434.76228</v>
      </c>
      <c r="G149" s="9"/>
      <c r="H149" s="9"/>
      <c r="I149" s="9"/>
      <c r="J149" s="18"/>
      <c r="K149" s="18"/>
      <c r="L149" s="6">
        <f t="shared" ref="L149:O149" si="97">SUM(L147:L148)</f>
        <v>720</v>
      </c>
      <c r="M149" s="15">
        <f t="shared" si="97"/>
        <v>0</v>
      </c>
      <c r="N149" s="15">
        <f t="shared" si="97"/>
        <v>199.6</v>
      </c>
      <c r="O149" s="15">
        <f t="shared" si="97"/>
        <v>199.6</v>
      </c>
      <c r="P149" s="25"/>
      <c r="Q149" s="35">
        <f>SUM(Q147:Q148)</f>
        <v>188.37918106362</v>
      </c>
      <c r="R149" s="37">
        <f>O149-N149</f>
        <v>0</v>
      </c>
      <c r="S149" s="37">
        <f>Q149-N149</f>
        <v>-11.22081893638</v>
      </c>
      <c r="T149" s="38"/>
      <c r="U149" s="44"/>
    </row>
    <row r="150" ht="60" spans="1:21">
      <c r="A150" s="10"/>
      <c r="B150" s="5">
        <v>35</v>
      </c>
      <c r="C150" s="7" t="s">
        <v>436</v>
      </c>
      <c r="D150" s="5" t="s">
        <v>431</v>
      </c>
      <c r="E150" s="15">
        <v>1365</v>
      </c>
      <c r="F150" s="8">
        <f>910-455</f>
        <v>455</v>
      </c>
      <c r="G150" s="6" t="s">
        <v>437</v>
      </c>
      <c r="H150" s="9" t="s">
        <v>438</v>
      </c>
      <c r="I150" s="9" t="s">
        <v>439</v>
      </c>
      <c r="J150" s="18">
        <v>43313</v>
      </c>
      <c r="K150" s="18">
        <v>43647</v>
      </c>
      <c r="L150" s="6">
        <f t="shared" ref="L150:L157" si="98">K150-J150</f>
        <v>334</v>
      </c>
      <c r="M150" s="15">
        <v>0</v>
      </c>
      <c r="N150" s="15">
        <v>17.6394</v>
      </c>
      <c r="O150" s="61">
        <v>19.3839</v>
      </c>
      <c r="P150" s="62"/>
      <c r="Q150" s="35">
        <f t="shared" ref="Q150:Q153" si="99">F150*4.35/100*0.459*L150/360</f>
        <v>8.428636125</v>
      </c>
      <c r="R150" s="37"/>
      <c r="S150" s="37"/>
      <c r="T150" s="38"/>
      <c r="U150" s="45" t="s">
        <v>70</v>
      </c>
    </row>
    <row r="151" ht="60" spans="1:21">
      <c r="A151" s="10"/>
      <c r="B151" s="10"/>
      <c r="C151" s="7"/>
      <c r="D151" s="11"/>
      <c r="E151" s="15"/>
      <c r="F151" s="8">
        <v>455</v>
      </c>
      <c r="G151" s="6"/>
      <c r="H151" s="9" t="s">
        <v>440</v>
      </c>
      <c r="I151" s="9" t="s">
        <v>27</v>
      </c>
      <c r="J151" s="18">
        <v>43313</v>
      </c>
      <c r="K151" s="18">
        <v>43677</v>
      </c>
      <c r="L151" s="6">
        <v>360</v>
      </c>
      <c r="M151" s="15">
        <v>0</v>
      </c>
      <c r="N151" s="15"/>
      <c r="O151" s="61"/>
      <c r="P151" s="62"/>
      <c r="Q151" s="35">
        <f t="shared" si="99"/>
        <v>9.0847575</v>
      </c>
      <c r="R151" s="37"/>
      <c r="S151" s="37"/>
      <c r="T151" s="38"/>
      <c r="U151" s="42"/>
    </row>
    <row r="152" ht="60" spans="1:21">
      <c r="A152" s="10"/>
      <c r="B152" s="10"/>
      <c r="C152" s="7"/>
      <c r="D152" s="5" t="s">
        <v>431</v>
      </c>
      <c r="E152" s="15">
        <v>135</v>
      </c>
      <c r="F152" s="8">
        <f>90-45</f>
        <v>45</v>
      </c>
      <c r="G152" s="6" t="s">
        <v>437</v>
      </c>
      <c r="H152" s="9" t="s">
        <v>438</v>
      </c>
      <c r="I152" s="9" t="s">
        <v>439</v>
      </c>
      <c r="J152" s="18">
        <v>43313</v>
      </c>
      <c r="K152" s="18">
        <v>43647</v>
      </c>
      <c r="L152" s="6">
        <f t="shared" si="98"/>
        <v>334</v>
      </c>
      <c r="M152" s="15">
        <v>0</v>
      </c>
      <c r="N152" s="15">
        <v>1.7445</v>
      </c>
      <c r="O152" s="61"/>
      <c r="P152" s="62"/>
      <c r="Q152" s="35">
        <f t="shared" si="99"/>
        <v>0.833601375</v>
      </c>
      <c r="R152" s="37"/>
      <c r="S152" s="37"/>
      <c r="T152" s="38"/>
      <c r="U152" s="45" t="s">
        <v>70</v>
      </c>
    </row>
    <row r="153" ht="60" spans="1:21">
      <c r="A153" s="10"/>
      <c r="B153" s="10"/>
      <c r="C153" s="7"/>
      <c r="D153" s="11"/>
      <c r="E153" s="15"/>
      <c r="F153" s="8">
        <v>45</v>
      </c>
      <c r="G153" s="6"/>
      <c r="H153" s="9" t="s">
        <v>440</v>
      </c>
      <c r="I153" s="9" t="s">
        <v>27</v>
      </c>
      <c r="J153" s="18">
        <v>43313</v>
      </c>
      <c r="K153" s="18">
        <v>43677</v>
      </c>
      <c r="L153" s="6">
        <v>360</v>
      </c>
      <c r="M153" s="15">
        <v>0</v>
      </c>
      <c r="N153" s="15"/>
      <c r="O153" s="61"/>
      <c r="P153" s="62"/>
      <c r="Q153" s="35">
        <f t="shared" si="99"/>
        <v>0.8984925</v>
      </c>
      <c r="R153" s="37"/>
      <c r="S153" s="37"/>
      <c r="T153" s="38"/>
      <c r="U153" s="42"/>
    </row>
    <row r="154" ht="15.75" spans="1:21">
      <c r="A154" s="11"/>
      <c r="B154" s="11"/>
      <c r="C154" s="7" t="s">
        <v>41</v>
      </c>
      <c r="D154" s="6"/>
      <c r="E154" s="8">
        <f>SUM(E150:E153)</f>
        <v>1500</v>
      </c>
      <c r="F154" s="8">
        <f>SUM(F150:F153)</f>
        <v>1000</v>
      </c>
      <c r="G154" s="9"/>
      <c r="H154" s="9"/>
      <c r="I154" s="9"/>
      <c r="J154" s="18"/>
      <c r="K154" s="18"/>
      <c r="L154" s="6">
        <f t="shared" ref="L154:O154" si="100">SUM(L150:L153)</f>
        <v>1388</v>
      </c>
      <c r="M154" s="15">
        <f t="shared" si="100"/>
        <v>0</v>
      </c>
      <c r="N154" s="15">
        <f>SUM(N150:N152)</f>
        <v>19.3839</v>
      </c>
      <c r="O154" s="15">
        <f t="shared" si="100"/>
        <v>19.3839</v>
      </c>
      <c r="P154" s="25"/>
      <c r="Q154" s="35">
        <f>SUM(Q150:Q153)</f>
        <v>19.2454875</v>
      </c>
      <c r="R154" s="37">
        <f>O154-N154</f>
        <v>0</v>
      </c>
      <c r="S154" s="37">
        <f>Q154-N154</f>
        <v>-0.138412499999998</v>
      </c>
      <c r="T154" s="38"/>
      <c r="U154" s="44"/>
    </row>
    <row r="155" ht="60" spans="1:21">
      <c r="A155" s="10" t="s">
        <v>429</v>
      </c>
      <c r="B155" s="6">
        <v>36</v>
      </c>
      <c r="C155" s="7" t="s">
        <v>441</v>
      </c>
      <c r="D155" s="6" t="s">
        <v>442</v>
      </c>
      <c r="E155" s="8">
        <v>400</v>
      </c>
      <c r="F155" s="8">
        <f t="shared" ref="F155:F158" si="101">E155</f>
        <v>400</v>
      </c>
      <c r="G155" s="9" t="s">
        <v>443</v>
      </c>
      <c r="H155" s="9" t="s">
        <v>444</v>
      </c>
      <c r="I155" s="9" t="s">
        <v>445</v>
      </c>
      <c r="J155" s="18">
        <v>43313</v>
      </c>
      <c r="K155" s="18">
        <v>43553</v>
      </c>
      <c r="L155" s="6">
        <f t="shared" si="98"/>
        <v>240</v>
      </c>
      <c r="M155" s="15">
        <v>0</v>
      </c>
      <c r="N155" s="15">
        <v>5.17</v>
      </c>
      <c r="O155" s="15">
        <v>25.11</v>
      </c>
      <c r="P155" s="25"/>
      <c r="Q155" s="35">
        <f t="shared" ref="Q155:Q158" si="102">F155*4.35/100*0.459*L155/360</f>
        <v>5.3244</v>
      </c>
      <c r="R155" s="37"/>
      <c r="S155" s="37"/>
      <c r="T155" s="43" t="s">
        <v>118</v>
      </c>
      <c r="U155" s="44" t="s">
        <v>446</v>
      </c>
    </row>
    <row r="156" ht="60" spans="1:21">
      <c r="A156" s="10"/>
      <c r="B156" s="6"/>
      <c r="C156" s="7"/>
      <c r="D156" s="6" t="s">
        <v>442</v>
      </c>
      <c r="E156" s="8">
        <v>390</v>
      </c>
      <c r="F156" s="8">
        <f t="shared" si="101"/>
        <v>390</v>
      </c>
      <c r="G156" s="9" t="s">
        <v>447</v>
      </c>
      <c r="H156" s="9" t="s">
        <v>448</v>
      </c>
      <c r="I156" s="9" t="s">
        <v>92</v>
      </c>
      <c r="J156" s="18">
        <v>43553</v>
      </c>
      <c r="K156" s="18">
        <v>43677</v>
      </c>
      <c r="L156" s="6">
        <f t="shared" si="98"/>
        <v>124</v>
      </c>
      <c r="M156" s="15">
        <v>0</v>
      </c>
      <c r="N156" s="15">
        <v>2.86</v>
      </c>
      <c r="O156" s="15"/>
      <c r="P156" s="25"/>
      <c r="Q156" s="35">
        <f t="shared" si="102"/>
        <v>2.6821665</v>
      </c>
      <c r="R156" s="37"/>
      <c r="S156" s="37"/>
      <c r="T156" s="43" t="s">
        <v>118</v>
      </c>
      <c r="U156" s="44" t="s">
        <v>449</v>
      </c>
    </row>
    <row r="157" ht="60" spans="1:21">
      <c r="A157" s="10"/>
      <c r="B157" s="6"/>
      <c r="C157" s="7"/>
      <c r="D157" s="6" t="s">
        <v>450</v>
      </c>
      <c r="E157" s="8">
        <v>600</v>
      </c>
      <c r="F157" s="8">
        <f t="shared" si="101"/>
        <v>600</v>
      </c>
      <c r="G157" s="9" t="s">
        <v>451</v>
      </c>
      <c r="H157" s="9" t="s">
        <v>451</v>
      </c>
      <c r="I157" s="9" t="s">
        <v>452</v>
      </c>
      <c r="J157" s="18">
        <v>43313</v>
      </c>
      <c r="K157" s="18">
        <v>43643</v>
      </c>
      <c r="L157" s="6">
        <f t="shared" si="98"/>
        <v>330</v>
      </c>
      <c r="M157" s="15">
        <v>0</v>
      </c>
      <c r="N157" s="15">
        <v>11.01</v>
      </c>
      <c r="O157" s="15"/>
      <c r="P157" s="25"/>
      <c r="Q157" s="35">
        <f t="shared" si="102"/>
        <v>10.981575</v>
      </c>
      <c r="R157" s="37"/>
      <c r="S157" s="37"/>
      <c r="T157" s="43" t="s">
        <v>118</v>
      </c>
      <c r="U157" s="44" t="s">
        <v>453</v>
      </c>
    </row>
    <row r="158" ht="81" spans="1:21">
      <c r="A158" s="10"/>
      <c r="B158" s="6"/>
      <c r="C158" s="7"/>
      <c r="D158" s="6" t="s">
        <v>454</v>
      </c>
      <c r="E158" s="8">
        <v>300</v>
      </c>
      <c r="F158" s="8">
        <f t="shared" si="101"/>
        <v>300</v>
      </c>
      <c r="G158" s="9" t="s">
        <v>455</v>
      </c>
      <c r="H158" s="9" t="s">
        <v>455</v>
      </c>
      <c r="I158" s="9" t="s">
        <v>27</v>
      </c>
      <c r="J158" s="18">
        <v>43313</v>
      </c>
      <c r="K158" s="18">
        <v>43677</v>
      </c>
      <c r="L158" s="6">
        <v>360</v>
      </c>
      <c r="M158" s="15">
        <v>0</v>
      </c>
      <c r="N158" s="15">
        <v>6.07</v>
      </c>
      <c r="O158" s="15"/>
      <c r="P158" s="25"/>
      <c r="Q158" s="35">
        <f t="shared" si="102"/>
        <v>5.98995</v>
      </c>
      <c r="R158" s="37"/>
      <c r="S158" s="37"/>
      <c r="T158" s="43" t="s">
        <v>118</v>
      </c>
      <c r="U158" s="44" t="s">
        <v>456</v>
      </c>
    </row>
    <row r="159" ht="15.75" spans="1:21">
      <c r="A159" s="10"/>
      <c r="B159" s="6"/>
      <c r="C159" s="7" t="s">
        <v>41</v>
      </c>
      <c r="D159" s="6"/>
      <c r="E159" s="8">
        <f>SUM(E155:E158)</f>
        <v>1690</v>
      </c>
      <c r="F159" s="8">
        <f>SUM(F155:F158)</f>
        <v>1690</v>
      </c>
      <c r="G159" s="9"/>
      <c r="H159" s="9"/>
      <c r="I159" s="9"/>
      <c r="J159" s="18"/>
      <c r="K159" s="18"/>
      <c r="L159" s="6">
        <f t="shared" ref="L159:O159" si="103">SUM(L155:L158)</f>
        <v>1054</v>
      </c>
      <c r="M159" s="15">
        <f t="shared" si="103"/>
        <v>0</v>
      </c>
      <c r="N159" s="15">
        <f t="shared" si="103"/>
        <v>25.11</v>
      </c>
      <c r="O159" s="15">
        <f t="shared" si="103"/>
        <v>25.11</v>
      </c>
      <c r="P159" s="25"/>
      <c r="Q159" s="35">
        <f>SUM(Q155:Q158)</f>
        <v>24.9780915</v>
      </c>
      <c r="R159" s="37">
        <f t="shared" ref="R159:R163" si="104">O159-N159</f>
        <v>0</v>
      </c>
      <c r="S159" s="37">
        <f t="shared" ref="S159:S163" si="105">Q159-N159</f>
        <v>-0.131908499999998</v>
      </c>
      <c r="T159" s="38"/>
      <c r="U159" s="44"/>
    </row>
    <row r="160" ht="60" spans="1:21">
      <c r="A160" s="10"/>
      <c r="B160" s="6">
        <v>37</v>
      </c>
      <c r="C160" s="7" t="s">
        <v>457</v>
      </c>
      <c r="D160" s="6" t="s">
        <v>431</v>
      </c>
      <c r="E160" s="8">
        <v>500</v>
      </c>
      <c r="F160" s="8">
        <f>E160</f>
        <v>500</v>
      </c>
      <c r="G160" s="9" t="s">
        <v>458</v>
      </c>
      <c r="H160" s="9" t="s">
        <v>458</v>
      </c>
      <c r="I160" s="9" t="s">
        <v>27</v>
      </c>
      <c r="J160" s="18">
        <v>43313</v>
      </c>
      <c r="K160" s="18">
        <v>43677</v>
      </c>
      <c r="L160" s="6">
        <v>360</v>
      </c>
      <c r="M160" s="15">
        <v>0</v>
      </c>
      <c r="N160" s="15">
        <v>10.12</v>
      </c>
      <c r="O160" s="61">
        <v>19.05</v>
      </c>
      <c r="P160" s="62"/>
      <c r="Q160" s="35">
        <f t="shared" ref="Q160:Q168" si="106">F160*4.35/100*0.459*L160/360</f>
        <v>9.98325</v>
      </c>
      <c r="R160" s="37"/>
      <c r="S160" s="37"/>
      <c r="T160" s="38"/>
      <c r="U160" s="44" t="s">
        <v>459</v>
      </c>
    </row>
    <row r="161" ht="228" spans="1:21">
      <c r="A161" s="10"/>
      <c r="B161" s="6"/>
      <c r="C161" s="7"/>
      <c r="D161" s="6" t="s">
        <v>460</v>
      </c>
      <c r="E161" s="8">
        <v>460</v>
      </c>
      <c r="F161" s="8">
        <f>E161</f>
        <v>460</v>
      </c>
      <c r="G161" s="9" t="s">
        <v>461</v>
      </c>
      <c r="H161" s="9" t="s">
        <v>461</v>
      </c>
      <c r="I161" s="9" t="s">
        <v>462</v>
      </c>
      <c r="J161" s="18">
        <v>43328</v>
      </c>
      <c r="K161" s="18">
        <v>43677</v>
      </c>
      <c r="L161" s="6">
        <f t="shared" ref="L161:L165" si="107">K161-J161</f>
        <v>349</v>
      </c>
      <c r="M161" s="15">
        <v>0</v>
      </c>
      <c r="N161" s="15">
        <v>8.93</v>
      </c>
      <c r="O161" s="61"/>
      <c r="P161" s="62"/>
      <c r="Q161" s="35">
        <f t="shared" si="106"/>
        <v>8.90394975</v>
      </c>
      <c r="R161" s="37"/>
      <c r="S161" s="37"/>
      <c r="T161" s="43" t="s">
        <v>118</v>
      </c>
      <c r="U161" s="39" t="s">
        <v>463</v>
      </c>
    </row>
    <row r="162" ht="15.75" spans="1:21">
      <c r="A162" s="10"/>
      <c r="B162" s="6"/>
      <c r="C162" s="7" t="s">
        <v>41</v>
      </c>
      <c r="D162" s="6"/>
      <c r="E162" s="8">
        <f>SUM(E160:E161)</f>
        <v>960</v>
      </c>
      <c r="F162" s="8">
        <f>SUM(F160:F161)</f>
        <v>960</v>
      </c>
      <c r="G162" s="9"/>
      <c r="H162" s="9"/>
      <c r="I162" s="9"/>
      <c r="J162" s="18"/>
      <c r="K162" s="18"/>
      <c r="L162" s="6">
        <f t="shared" ref="L162:O162" si="108">SUM(L160:L161)</f>
        <v>709</v>
      </c>
      <c r="M162" s="15">
        <f t="shared" si="108"/>
        <v>0</v>
      </c>
      <c r="N162" s="15">
        <f t="shared" si="108"/>
        <v>19.05</v>
      </c>
      <c r="O162" s="15">
        <f t="shared" si="108"/>
        <v>19.05</v>
      </c>
      <c r="P162" s="25"/>
      <c r="Q162" s="35">
        <f>SUM(Q160:Q161)</f>
        <v>18.88719975</v>
      </c>
      <c r="R162" s="37">
        <f t="shared" si="104"/>
        <v>0</v>
      </c>
      <c r="S162" s="37">
        <f t="shared" si="105"/>
        <v>-0.162800249999997</v>
      </c>
      <c r="T162" s="38"/>
      <c r="U162" s="44"/>
    </row>
    <row r="163" ht="27" spans="1:21">
      <c r="A163" s="11"/>
      <c r="B163" s="9"/>
      <c r="C163" s="7" t="s">
        <v>464</v>
      </c>
      <c r="D163" s="6"/>
      <c r="E163" s="8">
        <f>E162+E159+E154+E149</f>
        <v>14150</v>
      </c>
      <c r="F163" s="8">
        <f>F162+F159+F154+F149</f>
        <v>13084.76228</v>
      </c>
      <c r="G163" s="9"/>
      <c r="H163" s="9"/>
      <c r="I163" s="9"/>
      <c r="J163" s="9"/>
      <c r="K163" s="9"/>
      <c r="L163" s="6">
        <f t="shared" ref="L163:O163" si="109">L162+L159+L154+L149</f>
        <v>3871</v>
      </c>
      <c r="M163" s="15">
        <f t="shared" si="109"/>
        <v>0</v>
      </c>
      <c r="N163" s="15">
        <f t="shared" si="109"/>
        <v>263.1439</v>
      </c>
      <c r="O163" s="15">
        <f t="shared" si="109"/>
        <v>263.1439</v>
      </c>
      <c r="P163" s="25">
        <f>N163-O163</f>
        <v>0</v>
      </c>
      <c r="Q163" s="35">
        <f>Q162+Q159+Q154+Q149</f>
        <v>251.48995981362</v>
      </c>
      <c r="R163" s="37">
        <f t="shared" si="104"/>
        <v>0</v>
      </c>
      <c r="S163" s="37">
        <f t="shared" si="105"/>
        <v>-11.65394018638</v>
      </c>
      <c r="T163" s="38"/>
      <c r="U163" s="44"/>
    </row>
    <row r="164" ht="58.5" spans="1:21">
      <c r="A164" s="5" t="s">
        <v>465</v>
      </c>
      <c r="B164" s="6">
        <v>38</v>
      </c>
      <c r="C164" s="7" t="s">
        <v>466</v>
      </c>
      <c r="D164" s="5" t="s">
        <v>467</v>
      </c>
      <c r="E164" s="16">
        <v>200</v>
      </c>
      <c r="F164" s="8">
        <v>30</v>
      </c>
      <c r="G164" s="5" t="s">
        <v>162</v>
      </c>
      <c r="H164" s="18" t="s">
        <v>468</v>
      </c>
      <c r="I164" s="9" t="s">
        <v>469</v>
      </c>
      <c r="J164" s="18">
        <v>43313</v>
      </c>
      <c r="K164" s="18">
        <v>43424</v>
      </c>
      <c r="L164" s="6">
        <f t="shared" si="107"/>
        <v>111</v>
      </c>
      <c r="M164" s="15">
        <v>0</v>
      </c>
      <c r="N164" s="16">
        <v>3.9933</v>
      </c>
      <c r="O164" s="15">
        <v>11.9799</v>
      </c>
      <c r="P164" s="25"/>
      <c r="Q164" s="35">
        <f t="shared" si="106"/>
        <v>0.184690125</v>
      </c>
      <c r="R164" s="36">
        <f>O164-N164-N167</f>
        <v>0</v>
      </c>
      <c r="S164" s="36">
        <f>Q164+Q165+Q166-N164</f>
        <v>-0.527448375</v>
      </c>
      <c r="T164" s="38"/>
      <c r="U164" s="44" t="s">
        <v>470</v>
      </c>
    </row>
    <row r="165" ht="45" spans="1:21">
      <c r="A165" s="10"/>
      <c r="B165" s="6"/>
      <c r="C165" s="7"/>
      <c r="D165" s="10"/>
      <c r="E165" s="17"/>
      <c r="F165" s="8">
        <v>30</v>
      </c>
      <c r="G165" s="10"/>
      <c r="H165" s="18" t="s">
        <v>471</v>
      </c>
      <c r="I165" s="9" t="s">
        <v>472</v>
      </c>
      <c r="J165" s="18">
        <v>43313</v>
      </c>
      <c r="K165" s="18">
        <v>43605</v>
      </c>
      <c r="L165" s="6">
        <f t="shared" si="107"/>
        <v>292</v>
      </c>
      <c r="M165" s="15">
        <v>0</v>
      </c>
      <c r="N165" s="17"/>
      <c r="O165" s="15"/>
      <c r="P165" s="25"/>
      <c r="Q165" s="35">
        <f t="shared" si="106"/>
        <v>0.4858515</v>
      </c>
      <c r="R165" s="40"/>
      <c r="S165" s="40"/>
      <c r="T165" s="38"/>
      <c r="U165" s="44" t="s">
        <v>470</v>
      </c>
    </row>
    <row r="166" ht="45" spans="1:21">
      <c r="A166" s="10"/>
      <c r="B166" s="6"/>
      <c r="C166" s="7"/>
      <c r="D166" s="11"/>
      <c r="E166" s="19"/>
      <c r="F166" s="8">
        <v>140</v>
      </c>
      <c r="G166" s="11"/>
      <c r="H166" s="18" t="s">
        <v>473</v>
      </c>
      <c r="I166" s="9" t="s">
        <v>27</v>
      </c>
      <c r="J166" s="18">
        <v>43313</v>
      </c>
      <c r="K166" s="18">
        <v>43677</v>
      </c>
      <c r="L166" s="6">
        <v>360</v>
      </c>
      <c r="M166" s="15">
        <v>0</v>
      </c>
      <c r="N166" s="19"/>
      <c r="O166" s="15"/>
      <c r="P166" s="25"/>
      <c r="Q166" s="35">
        <f t="shared" si="106"/>
        <v>2.79531</v>
      </c>
      <c r="R166" s="40"/>
      <c r="S166" s="41"/>
      <c r="T166" s="38"/>
      <c r="U166" s="44" t="s">
        <v>470</v>
      </c>
    </row>
    <row r="167" ht="45" spans="1:21">
      <c r="A167" s="10"/>
      <c r="B167" s="6"/>
      <c r="C167" s="7"/>
      <c r="D167" s="10" t="s">
        <v>474</v>
      </c>
      <c r="E167" s="17">
        <v>400</v>
      </c>
      <c r="F167" s="8">
        <v>100</v>
      </c>
      <c r="G167" s="10" t="s">
        <v>283</v>
      </c>
      <c r="H167" s="9" t="s">
        <v>475</v>
      </c>
      <c r="I167" s="9" t="s">
        <v>476</v>
      </c>
      <c r="J167" s="18">
        <v>43313</v>
      </c>
      <c r="K167" s="18">
        <v>43485</v>
      </c>
      <c r="L167" s="6">
        <f t="shared" ref="L167:L173" si="110">K167-J167</f>
        <v>172</v>
      </c>
      <c r="M167" s="15">
        <v>0</v>
      </c>
      <c r="N167" s="17">
        <v>7.9866</v>
      </c>
      <c r="O167" s="15"/>
      <c r="P167" s="25"/>
      <c r="Q167" s="35">
        <f t="shared" si="106"/>
        <v>0.953955</v>
      </c>
      <c r="R167" s="40"/>
      <c r="S167" s="40">
        <f>Q167+Q168-N167</f>
        <v>-1.042695</v>
      </c>
      <c r="T167" s="38"/>
      <c r="U167" s="44" t="s">
        <v>84</v>
      </c>
    </row>
    <row r="168" ht="45" spans="1:21">
      <c r="A168" s="10"/>
      <c r="B168" s="6"/>
      <c r="C168" s="7"/>
      <c r="D168" s="11"/>
      <c r="E168" s="29"/>
      <c r="F168" s="8">
        <v>300</v>
      </c>
      <c r="G168" s="71"/>
      <c r="H168" s="9" t="s">
        <v>477</v>
      </c>
      <c r="I168" s="9" t="s">
        <v>27</v>
      </c>
      <c r="J168" s="18">
        <v>43313</v>
      </c>
      <c r="K168" s="18">
        <v>43677</v>
      </c>
      <c r="L168" s="6">
        <v>360</v>
      </c>
      <c r="M168" s="15">
        <v>0</v>
      </c>
      <c r="N168" s="19"/>
      <c r="O168" s="15"/>
      <c r="P168" s="25"/>
      <c r="Q168" s="35">
        <f t="shared" si="106"/>
        <v>5.98995</v>
      </c>
      <c r="R168" s="41"/>
      <c r="S168" s="86"/>
      <c r="T168" s="38"/>
      <c r="U168" s="44" t="s">
        <v>84</v>
      </c>
    </row>
    <row r="169" ht="15.75" spans="1:21">
      <c r="A169" s="11"/>
      <c r="B169" s="6"/>
      <c r="C169" s="7" t="s">
        <v>41</v>
      </c>
      <c r="D169" s="6"/>
      <c r="E169" s="8">
        <f>SUM(E164:E167)</f>
        <v>600</v>
      </c>
      <c r="F169" s="8">
        <f>SUM(F164:F168)</f>
        <v>600</v>
      </c>
      <c r="G169" s="9"/>
      <c r="H169" s="9"/>
      <c r="I169" s="9"/>
      <c r="J169" s="18"/>
      <c r="K169" s="18"/>
      <c r="L169" s="6">
        <f t="shared" ref="L169:O169" si="111">SUM(L164:L168)</f>
        <v>1295</v>
      </c>
      <c r="M169" s="15">
        <f t="shared" si="111"/>
        <v>0</v>
      </c>
      <c r="N169" s="15">
        <f>SUM(N164:N167)</f>
        <v>11.9799</v>
      </c>
      <c r="O169" s="15">
        <f t="shared" si="111"/>
        <v>11.9799</v>
      </c>
      <c r="P169" s="25"/>
      <c r="Q169" s="35">
        <f>SUM(Q164:Q168)</f>
        <v>10.409756625</v>
      </c>
      <c r="R169" s="37">
        <f t="shared" ref="R169:R171" si="112">O169-N169</f>
        <v>0</v>
      </c>
      <c r="S169" s="37">
        <f t="shared" ref="S169:S175" si="113">Q169-N169</f>
        <v>-1.570143375</v>
      </c>
      <c r="T169" s="38"/>
      <c r="U169" s="44"/>
    </row>
    <row r="170" ht="67.5" spans="1:21">
      <c r="A170" s="10" t="s">
        <v>465</v>
      </c>
      <c r="B170" s="6">
        <v>39</v>
      </c>
      <c r="C170" s="7" t="s">
        <v>478</v>
      </c>
      <c r="D170" s="6" t="s">
        <v>479</v>
      </c>
      <c r="E170" s="8">
        <v>184.99</v>
      </c>
      <c r="F170" s="8">
        <f t="shared" ref="F170:F175" si="114">E170</f>
        <v>184.99</v>
      </c>
      <c r="G170" s="9" t="s">
        <v>480</v>
      </c>
      <c r="H170" s="9" t="s">
        <v>481</v>
      </c>
      <c r="I170" s="9" t="s">
        <v>27</v>
      </c>
      <c r="J170" s="18">
        <v>43313</v>
      </c>
      <c r="K170" s="18">
        <v>43677</v>
      </c>
      <c r="L170" s="6">
        <v>360</v>
      </c>
      <c r="M170" s="15">
        <v>0</v>
      </c>
      <c r="N170" s="15">
        <v>3.693789</v>
      </c>
      <c r="O170" s="15">
        <v>3.693789</v>
      </c>
      <c r="P170" s="25"/>
      <c r="Q170" s="35">
        <f t="shared" ref="Q170:Q173" si="115">F170*4.35/100*0.459*L170/360</f>
        <v>3.693602835</v>
      </c>
      <c r="R170" s="37">
        <f t="shared" si="112"/>
        <v>0</v>
      </c>
      <c r="S170" s="37">
        <f t="shared" si="113"/>
        <v>-0.000186165000000127</v>
      </c>
      <c r="T170" s="38"/>
      <c r="U170" s="44" t="s">
        <v>482</v>
      </c>
    </row>
    <row r="171" ht="60" spans="1:21">
      <c r="A171" s="10"/>
      <c r="B171" s="6">
        <v>40</v>
      </c>
      <c r="C171" s="7" t="s">
        <v>483</v>
      </c>
      <c r="D171" s="6" t="s">
        <v>484</v>
      </c>
      <c r="E171" s="8">
        <v>200</v>
      </c>
      <c r="F171" s="8">
        <v>0</v>
      </c>
      <c r="G171" s="9" t="s">
        <v>485</v>
      </c>
      <c r="H171" s="9" t="s">
        <v>486</v>
      </c>
      <c r="I171" s="9" t="s">
        <v>487</v>
      </c>
      <c r="J171" s="18">
        <v>43616</v>
      </c>
      <c r="K171" s="18">
        <v>43677</v>
      </c>
      <c r="L171" s="6">
        <f t="shared" si="110"/>
        <v>61</v>
      </c>
      <c r="M171" s="15">
        <v>0</v>
      </c>
      <c r="N171" s="15">
        <v>6.8</v>
      </c>
      <c r="O171" s="15">
        <v>6.8</v>
      </c>
      <c r="P171" s="25"/>
      <c r="Q171" s="35">
        <f t="shared" si="115"/>
        <v>0</v>
      </c>
      <c r="R171" s="37">
        <f t="shared" si="112"/>
        <v>0</v>
      </c>
      <c r="S171" s="37">
        <f t="shared" si="113"/>
        <v>-6.8</v>
      </c>
      <c r="T171" s="43" t="s">
        <v>488</v>
      </c>
      <c r="U171" s="44" t="s">
        <v>489</v>
      </c>
    </row>
    <row r="172" ht="45" spans="1:21">
      <c r="A172" s="10"/>
      <c r="B172" s="6">
        <v>41</v>
      </c>
      <c r="C172" s="7" t="s">
        <v>490</v>
      </c>
      <c r="D172" s="6" t="s">
        <v>491</v>
      </c>
      <c r="E172" s="16">
        <v>280</v>
      </c>
      <c r="F172" s="8">
        <f t="shared" si="114"/>
        <v>280</v>
      </c>
      <c r="G172" s="9" t="s">
        <v>492</v>
      </c>
      <c r="H172" s="18" t="s">
        <v>493</v>
      </c>
      <c r="I172" s="9" t="s">
        <v>494</v>
      </c>
      <c r="J172" s="18">
        <v>43313</v>
      </c>
      <c r="K172" s="18">
        <v>43557</v>
      </c>
      <c r="L172" s="6">
        <f t="shared" si="110"/>
        <v>244</v>
      </c>
      <c r="M172" s="15">
        <v>0</v>
      </c>
      <c r="N172" s="15">
        <v>3.8016</v>
      </c>
      <c r="O172" s="15">
        <v>5.646527</v>
      </c>
      <c r="P172" s="25"/>
      <c r="Q172" s="35">
        <f t="shared" si="115"/>
        <v>3.789198</v>
      </c>
      <c r="R172" s="36">
        <f>O172-N172-N173</f>
        <v>2.69999999997772e-5</v>
      </c>
      <c r="S172" s="37">
        <f t="shared" si="113"/>
        <v>-0.0124019999999998</v>
      </c>
      <c r="T172" s="38"/>
      <c r="U172" s="44" t="s">
        <v>216</v>
      </c>
    </row>
    <row r="173" ht="45" spans="1:21">
      <c r="A173" s="10"/>
      <c r="B173" s="6"/>
      <c r="C173" s="7"/>
      <c r="D173" s="6" t="s">
        <v>491</v>
      </c>
      <c r="E173" s="19"/>
      <c r="F173" s="8">
        <v>280</v>
      </c>
      <c r="G173" s="9" t="s">
        <v>270</v>
      </c>
      <c r="H173" s="18" t="s">
        <v>495</v>
      </c>
      <c r="I173" s="18" t="s">
        <v>495</v>
      </c>
      <c r="J173" s="18">
        <v>43559</v>
      </c>
      <c r="K173" s="18">
        <v>43677</v>
      </c>
      <c r="L173" s="6">
        <f t="shared" si="110"/>
        <v>118</v>
      </c>
      <c r="M173" s="15">
        <v>0</v>
      </c>
      <c r="N173" s="15">
        <v>1.8449</v>
      </c>
      <c r="O173" s="15"/>
      <c r="P173" s="25"/>
      <c r="Q173" s="35">
        <f t="shared" si="115"/>
        <v>1.832481</v>
      </c>
      <c r="R173" s="41"/>
      <c r="S173" s="37">
        <f t="shared" si="113"/>
        <v>-0.012419</v>
      </c>
      <c r="T173" s="38"/>
      <c r="U173" s="44" t="s">
        <v>216</v>
      </c>
    </row>
    <row r="174" ht="15.75" spans="1:21">
      <c r="A174" s="10"/>
      <c r="B174" s="6"/>
      <c r="C174" s="7" t="s">
        <v>41</v>
      </c>
      <c r="D174" s="6"/>
      <c r="E174" s="8">
        <f>SUM(E172:E173)</f>
        <v>280</v>
      </c>
      <c r="F174" s="8">
        <f t="shared" si="114"/>
        <v>280</v>
      </c>
      <c r="G174" s="9"/>
      <c r="H174" s="18"/>
      <c r="I174" s="18"/>
      <c r="J174" s="18"/>
      <c r="K174" s="18"/>
      <c r="L174" s="6">
        <f t="shared" ref="L174:O174" si="116">SUM(L172:L173)</f>
        <v>362</v>
      </c>
      <c r="M174" s="15">
        <f t="shared" si="116"/>
        <v>0</v>
      </c>
      <c r="N174" s="15">
        <f t="shared" si="116"/>
        <v>5.6465</v>
      </c>
      <c r="O174" s="15">
        <f t="shared" si="116"/>
        <v>5.646527</v>
      </c>
      <c r="P174" s="25"/>
      <c r="Q174" s="35">
        <f>SUM(Q172:Q173)</f>
        <v>5.621679</v>
      </c>
      <c r="R174" s="37">
        <f>O174-N174</f>
        <v>2.70000000002213e-5</v>
      </c>
      <c r="S174" s="37">
        <f t="shared" si="113"/>
        <v>-0.0248209999999993</v>
      </c>
      <c r="T174" s="38"/>
      <c r="U174" s="44"/>
    </row>
    <row r="175" ht="185.25" spans="1:21">
      <c r="A175" s="10"/>
      <c r="B175" s="10">
        <v>42</v>
      </c>
      <c r="C175" s="10" t="s">
        <v>496</v>
      </c>
      <c r="D175" s="6" t="s">
        <v>497</v>
      </c>
      <c r="E175" s="8">
        <v>9000</v>
      </c>
      <c r="F175" s="8">
        <f t="shared" si="114"/>
        <v>9000</v>
      </c>
      <c r="G175" s="9" t="s">
        <v>498</v>
      </c>
      <c r="H175" s="9" t="s">
        <v>241</v>
      </c>
      <c r="I175" s="9" t="s">
        <v>242</v>
      </c>
      <c r="J175" s="18">
        <v>43644</v>
      </c>
      <c r="K175" s="18">
        <v>43677</v>
      </c>
      <c r="L175" s="6">
        <f t="shared" ref="L175:L179" si="117">K175-J175</f>
        <v>33</v>
      </c>
      <c r="M175" s="15">
        <v>0</v>
      </c>
      <c r="N175" s="61">
        <v>16.971525</v>
      </c>
      <c r="O175" s="15">
        <v>16.971525</v>
      </c>
      <c r="P175" s="25"/>
      <c r="Q175" s="35">
        <f t="shared" ref="Q175:Q179" si="118">F175*4.35/100*0.459*L175/360</f>
        <v>16.4723625</v>
      </c>
      <c r="R175" s="37">
        <f>O175-N175</f>
        <v>0</v>
      </c>
      <c r="S175" s="37">
        <f t="shared" si="113"/>
        <v>-0.499162500000001</v>
      </c>
      <c r="T175" s="38"/>
      <c r="U175" s="44" t="s">
        <v>499</v>
      </c>
    </row>
    <row r="176" ht="58.5" spans="1:21">
      <c r="A176" s="10"/>
      <c r="B176" s="10"/>
      <c r="C176" s="10"/>
      <c r="D176" s="5" t="s">
        <v>500</v>
      </c>
      <c r="E176" s="16">
        <v>4500</v>
      </c>
      <c r="F176" s="8">
        <v>20</v>
      </c>
      <c r="G176" s="72" t="s">
        <v>501</v>
      </c>
      <c r="H176" s="18" t="s">
        <v>502</v>
      </c>
      <c r="I176" s="9" t="s">
        <v>503</v>
      </c>
      <c r="J176" s="18">
        <v>43313</v>
      </c>
      <c r="K176" s="18">
        <v>43455</v>
      </c>
      <c r="L176" s="6">
        <f t="shared" si="117"/>
        <v>142</v>
      </c>
      <c r="M176" s="15">
        <v>0</v>
      </c>
      <c r="N176" s="61">
        <f>11.41751+7.108074+34.9763</f>
        <v>53.501884</v>
      </c>
      <c r="O176" s="16">
        <v>53.5019</v>
      </c>
      <c r="P176" s="27"/>
      <c r="Q176" s="35">
        <f t="shared" si="118"/>
        <v>0.1575135</v>
      </c>
      <c r="R176" s="37"/>
      <c r="S176" s="37"/>
      <c r="T176" s="38"/>
      <c r="U176" s="45" t="s">
        <v>504</v>
      </c>
    </row>
    <row r="177" ht="45" spans="1:21">
      <c r="A177" s="10"/>
      <c r="B177" s="10"/>
      <c r="C177" s="10"/>
      <c r="D177" s="10"/>
      <c r="E177" s="17"/>
      <c r="F177" s="8">
        <v>1440</v>
      </c>
      <c r="G177" s="73"/>
      <c r="H177" s="18" t="s">
        <v>505</v>
      </c>
      <c r="I177" s="9" t="s">
        <v>506</v>
      </c>
      <c r="J177" s="18">
        <v>43313</v>
      </c>
      <c r="K177" s="18">
        <v>43544</v>
      </c>
      <c r="L177" s="6">
        <f t="shared" si="117"/>
        <v>231</v>
      </c>
      <c r="M177" s="15">
        <v>0</v>
      </c>
      <c r="N177" s="61"/>
      <c r="O177" s="17"/>
      <c r="P177" s="28"/>
      <c r="Q177" s="35">
        <f t="shared" si="118"/>
        <v>18.449046</v>
      </c>
      <c r="R177" s="37"/>
      <c r="S177" s="37"/>
      <c r="T177" s="38"/>
      <c r="U177" s="46"/>
    </row>
    <row r="178" ht="60" spans="1:21">
      <c r="A178" s="10"/>
      <c r="B178" s="10"/>
      <c r="C178" s="10"/>
      <c r="D178" s="10"/>
      <c r="E178" s="17"/>
      <c r="F178" s="8">
        <v>2730</v>
      </c>
      <c r="G178" s="73"/>
      <c r="H178" s="18" t="s">
        <v>507</v>
      </c>
      <c r="I178" s="9" t="s">
        <v>506</v>
      </c>
      <c r="J178" s="18">
        <v>43313</v>
      </c>
      <c r="K178" s="18">
        <v>43544</v>
      </c>
      <c r="L178" s="6">
        <f t="shared" si="117"/>
        <v>231</v>
      </c>
      <c r="M178" s="15">
        <v>0</v>
      </c>
      <c r="N178" s="61"/>
      <c r="O178" s="17"/>
      <c r="P178" s="28"/>
      <c r="Q178" s="35">
        <f t="shared" si="118"/>
        <v>34.976316375</v>
      </c>
      <c r="R178" s="37"/>
      <c r="S178" s="37"/>
      <c r="T178" s="38"/>
      <c r="U178" s="46"/>
    </row>
    <row r="179" ht="60" spans="1:21">
      <c r="A179" s="10"/>
      <c r="B179" s="10"/>
      <c r="C179" s="10"/>
      <c r="D179" s="11"/>
      <c r="E179" s="19"/>
      <c r="F179" s="8">
        <v>270</v>
      </c>
      <c r="G179" s="74"/>
      <c r="H179" s="18" t="s">
        <v>508</v>
      </c>
      <c r="I179" s="9" t="s">
        <v>506</v>
      </c>
      <c r="J179" s="18">
        <v>43313</v>
      </c>
      <c r="K179" s="18">
        <v>43544</v>
      </c>
      <c r="L179" s="6">
        <f t="shared" si="117"/>
        <v>231</v>
      </c>
      <c r="M179" s="15">
        <v>0</v>
      </c>
      <c r="N179" s="61"/>
      <c r="O179" s="19"/>
      <c r="P179" s="30"/>
      <c r="Q179" s="35">
        <f t="shared" si="118"/>
        <v>3.459196125</v>
      </c>
      <c r="R179" s="37"/>
      <c r="S179" s="37"/>
      <c r="T179" s="38"/>
      <c r="U179" s="42"/>
    </row>
    <row r="180" ht="15.75" spans="1:21">
      <c r="A180" s="10"/>
      <c r="B180" s="11"/>
      <c r="C180" s="7" t="s">
        <v>41</v>
      </c>
      <c r="D180" s="6"/>
      <c r="E180" s="8">
        <f>SUM(E175:E179)</f>
        <v>13500</v>
      </c>
      <c r="F180" s="8">
        <f>SUM(F175:F179)</f>
        <v>13460</v>
      </c>
      <c r="G180" s="9"/>
      <c r="H180" s="9"/>
      <c r="I180" s="9"/>
      <c r="J180" s="18"/>
      <c r="K180" s="18"/>
      <c r="L180" s="6">
        <f t="shared" ref="L180:O180" si="119">SUM(L175:L179)</f>
        <v>868</v>
      </c>
      <c r="M180" s="15">
        <f t="shared" si="119"/>
        <v>0</v>
      </c>
      <c r="N180" s="15">
        <f t="shared" si="119"/>
        <v>70.473409</v>
      </c>
      <c r="O180" s="15">
        <f t="shared" si="119"/>
        <v>70.473425</v>
      </c>
      <c r="P180" s="25"/>
      <c r="Q180" s="35">
        <f>SUM(Q175:Q179)</f>
        <v>73.5144345</v>
      </c>
      <c r="R180" s="37">
        <f t="shared" ref="R180:R183" si="120">O180-N180</f>
        <v>1.59999999880256e-5</v>
      </c>
      <c r="S180" s="37">
        <f t="shared" ref="S180:S182" si="121">Q180-N180</f>
        <v>3.04102549999999</v>
      </c>
      <c r="T180" s="38"/>
      <c r="U180" s="44"/>
    </row>
    <row r="181" ht="60" spans="1:21">
      <c r="A181" s="10"/>
      <c r="B181" s="6">
        <v>43</v>
      </c>
      <c r="C181" s="7" t="s">
        <v>509</v>
      </c>
      <c r="D181" s="6" t="s">
        <v>510</v>
      </c>
      <c r="E181" s="8">
        <v>2070</v>
      </c>
      <c r="F181" s="8">
        <f>E181</f>
        <v>2070</v>
      </c>
      <c r="G181" s="9" t="s">
        <v>511</v>
      </c>
      <c r="H181" s="9" t="s">
        <v>512</v>
      </c>
      <c r="I181" s="9" t="s">
        <v>27</v>
      </c>
      <c r="J181" s="18">
        <v>43313</v>
      </c>
      <c r="K181" s="18">
        <v>43677</v>
      </c>
      <c r="L181" s="6">
        <v>360</v>
      </c>
      <c r="M181" s="15">
        <v>0</v>
      </c>
      <c r="N181" s="15">
        <v>41.74</v>
      </c>
      <c r="O181" s="15">
        <v>41.74</v>
      </c>
      <c r="P181" s="25"/>
      <c r="Q181" s="35">
        <f>F181*4.35/100*0.459*L181/360</f>
        <v>41.330655</v>
      </c>
      <c r="R181" s="37">
        <f t="shared" si="120"/>
        <v>0</v>
      </c>
      <c r="S181" s="37">
        <f t="shared" si="121"/>
        <v>-0.409345000000002</v>
      </c>
      <c r="T181" s="38"/>
      <c r="U181" s="44" t="s">
        <v>513</v>
      </c>
    </row>
    <row r="182" ht="15.75" spans="1:21">
      <c r="A182" s="11"/>
      <c r="B182" s="9"/>
      <c r="C182" s="7" t="s">
        <v>514</v>
      </c>
      <c r="D182" s="6"/>
      <c r="E182" s="8">
        <f>E181+E180+E174+E171+E170+E169</f>
        <v>16834.99</v>
      </c>
      <c r="F182" s="8">
        <f>F181+F180+F174+F171+F170+F169</f>
        <v>16594.99</v>
      </c>
      <c r="G182" s="9"/>
      <c r="H182" s="9"/>
      <c r="I182" s="9"/>
      <c r="J182" s="9"/>
      <c r="K182" s="9"/>
      <c r="L182" s="8">
        <f t="shared" ref="L182:N182" si="122">L181+L180+L174+L171+L170+L169</f>
        <v>3306</v>
      </c>
      <c r="M182" s="15">
        <f t="shared" si="122"/>
        <v>0</v>
      </c>
      <c r="N182" s="15">
        <f t="shared" si="122"/>
        <v>140.333598</v>
      </c>
      <c r="O182" s="15">
        <f>O181+O180+O174+O171+O170+O169-0.003</f>
        <v>140.330641</v>
      </c>
      <c r="P182" s="25">
        <f>N182-O182</f>
        <v>0.00295699999998078</v>
      </c>
      <c r="Q182" s="35">
        <f>Q181+Q180+Q174+Q171+Q170+Q169</f>
        <v>134.57012796</v>
      </c>
      <c r="R182" s="37">
        <f t="shared" si="120"/>
        <v>-0.00295699999998078</v>
      </c>
      <c r="S182" s="37">
        <f t="shared" si="121"/>
        <v>-5.76347003999999</v>
      </c>
      <c r="T182" s="38"/>
      <c r="U182" s="44"/>
    </row>
    <row r="183" ht="15.75" spans="1:21">
      <c r="A183" s="9"/>
      <c r="B183" s="9"/>
      <c r="C183" s="7" t="s">
        <v>515</v>
      </c>
      <c r="D183" s="6"/>
      <c r="E183" s="8">
        <f>E27+E48+E60+E62+E95+E112+E146+E163+E182</f>
        <v>92175.53</v>
      </c>
      <c r="F183" s="8">
        <f>F27+F48+F60+F62+F95+F112+F146+F163+F182</f>
        <v>77010.18228</v>
      </c>
      <c r="G183" s="9"/>
      <c r="H183" s="9"/>
      <c r="I183" s="9"/>
      <c r="J183" s="9"/>
      <c r="K183" s="9"/>
      <c r="L183" s="8">
        <f t="shared" ref="L183:O183" si="123">L27+L48+L60+L62+L95+L112+L146+L163+L182</f>
        <v>30916</v>
      </c>
      <c r="M183" s="15">
        <f t="shared" si="123"/>
        <v>0</v>
      </c>
      <c r="N183" s="15">
        <f t="shared" si="123"/>
        <v>1063.778401</v>
      </c>
      <c r="O183" s="15">
        <f t="shared" si="123"/>
        <v>1063.782457</v>
      </c>
      <c r="P183" s="25"/>
      <c r="Q183" s="35">
        <f>Q27+Q48+Q60+Q62+Q95+Q112+Q146+Q163+Q182</f>
        <v>890.667809927573</v>
      </c>
      <c r="R183" s="37">
        <f t="shared" si="120"/>
        <v>0.00405600000021877</v>
      </c>
      <c r="S183" s="87">
        <f>S27+S48+S60+S62+S95+S112+S146+S163+S182</f>
        <v>-173.110591072427</v>
      </c>
      <c r="T183" s="38"/>
      <c r="U183" s="44"/>
    </row>
  </sheetData>
  <mergeCells count="197">
    <mergeCell ref="A2:T2"/>
    <mergeCell ref="A4:A20"/>
    <mergeCell ref="A21:A27"/>
    <mergeCell ref="A28:A38"/>
    <mergeCell ref="A39:A48"/>
    <mergeCell ref="A49:A54"/>
    <mergeCell ref="A55:A60"/>
    <mergeCell ref="A61:A62"/>
    <mergeCell ref="A63:A71"/>
    <mergeCell ref="A72:A89"/>
    <mergeCell ref="A90:A95"/>
    <mergeCell ref="A96:A106"/>
    <mergeCell ref="A107:A112"/>
    <mergeCell ref="A113:A122"/>
    <mergeCell ref="A123:A138"/>
    <mergeCell ref="A139:A146"/>
    <mergeCell ref="A147:A154"/>
    <mergeCell ref="A155:A163"/>
    <mergeCell ref="A164:A169"/>
    <mergeCell ref="A170:A182"/>
    <mergeCell ref="B4:B8"/>
    <mergeCell ref="B9:B12"/>
    <mergeCell ref="B14:B20"/>
    <mergeCell ref="B21:B27"/>
    <mergeCell ref="B28:B38"/>
    <mergeCell ref="B39:B46"/>
    <mergeCell ref="B50:B54"/>
    <mergeCell ref="B55:B58"/>
    <mergeCell ref="B63:B71"/>
    <mergeCell ref="B72:B74"/>
    <mergeCell ref="B75:B79"/>
    <mergeCell ref="B80:B84"/>
    <mergeCell ref="B85:B89"/>
    <mergeCell ref="B90:B91"/>
    <mergeCell ref="B92:B94"/>
    <mergeCell ref="B97:B99"/>
    <mergeCell ref="B100:B106"/>
    <mergeCell ref="B108:B111"/>
    <mergeCell ref="B113:B116"/>
    <mergeCell ref="B118:B121"/>
    <mergeCell ref="B123:B125"/>
    <mergeCell ref="B127:B130"/>
    <mergeCell ref="B132:B135"/>
    <mergeCell ref="B136:B138"/>
    <mergeCell ref="B139:B144"/>
    <mergeCell ref="B147:B149"/>
    <mergeCell ref="B150:B154"/>
    <mergeCell ref="B155:B159"/>
    <mergeCell ref="B160:B162"/>
    <mergeCell ref="B164:B169"/>
    <mergeCell ref="B172:B174"/>
    <mergeCell ref="B175:B180"/>
    <mergeCell ref="C4:C7"/>
    <mergeCell ref="C9:C11"/>
    <mergeCell ref="C14:C20"/>
    <mergeCell ref="C21:C25"/>
    <mergeCell ref="C28:C37"/>
    <mergeCell ref="C39:C45"/>
    <mergeCell ref="C50:C54"/>
    <mergeCell ref="C55:C57"/>
    <mergeCell ref="C63:C70"/>
    <mergeCell ref="C72:C73"/>
    <mergeCell ref="C75:C78"/>
    <mergeCell ref="C80:C83"/>
    <mergeCell ref="C85:C89"/>
    <mergeCell ref="C92:C93"/>
    <mergeCell ref="C97:C98"/>
    <mergeCell ref="C100:C106"/>
    <mergeCell ref="C108:C110"/>
    <mergeCell ref="C113:C115"/>
    <mergeCell ref="C118:C120"/>
    <mergeCell ref="C123:C124"/>
    <mergeCell ref="C127:C129"/>
    <mergeCell ref="C132:C134"/>
    <mergeCell ref="C136:C137"/>
    <mergeCell ref="C139:C143"/>
    <mergeCell ref="C147:C148"/>
    <mergeCell ref="C150:C153"/>
    <mergeCell ref="C155:C158"/>
    <mergeCell ref="C160:C161"/>
    <mergeCell ref="C164:C168"/>
    <mergeCell ref="C172:C173"/>
    <mergeCell ref="C175:C179"/>
    <mergeCell ref="D23:D24"/>
    <mergeCell ref="D51:D54"/>
    <mergeCell ref="D56:D57"/>
    <mergeCell ref="D64:D65"/>
    <mergeCell ref="D66:D67"/>
    <mergeCell ref="D75:D76"/>
    <mergeCell ref="D85:D89"/>
    <mergeCell ref="D105:D106"/>
    <mergeCell ref="D132:D133"/>
    <mergeCell ref="D139:D141"/>
    <mergeCell ref="D150:D151"/>
    <mergeCell ref="D152:D153"/>
    <mergeCell ref="D164:D166"/>
    <mergeCell ref="D167:D168"/>
    <mergeCell ref="D176:D179"/>
    <mergeCell ref="E23:E24"/>
    <mergeCell ref="E28:E29"/>
    <mergeCell ref="E51:E54"/>
    <mergeCell ref="E55:E57"/>
    <mergeCell ref="E64:E65"/>
    <mergeCell ref="E66:E67"/>
    <mergeCell ref="E75:E76"/>
    <mergeCell ref="E85:E89"/>
    <mergeCell ref="E105:E106"/>
    <mergeCell ref="E132:E133"/>
    <mergeCell ref="E139:E141"/>
    <mergeCell ref="E150:E151"/>
    <mergeCell ref="E152:E153"/>
    <mergeCell ref="E164:E166"/>
    <mergeCell ref="E167:E168"/>
    <mergeCell ref="E172:E173"/>
    <mergeCell ref="E176:E179"/>
    <mergeCell ref="G28:G29"/>
    <mergeCell ref="G51:G54"/>
    <mergeCell ref="G64:G65"/>
    <mergeCell ref="G66:G67"/>
    <mergeCell ref="G75:G76"/>
    <mergeCell ref="G85:G89"/>
    <mergeCell ref="G105:G106"/>
    <mergeCell ref="G139:G141"/>
    <mergeCell ref="G150:G151"/>
    <mergeCell ref="G152:G153"/>
    <mergeCell ref="G164:G166"/>
    <mergeCell ref="G167:G168"/>
    <mergeCell ref="G176:G179"/>
    <mergeCell ref="H28:H29"/>
    <mergeCell ref="M139:M141"/>
    <mergeCell ref="N9:N11"/>
    <mergeCell ref="N23:N24"/>
    <mergeCell ref="N28:N29"/>
    <mergeCell ref="N51:N54"/>
    <mergeCell ref="N55:N57"/>
    <mergeCell ref="N64:N65"/>
    <mergeCell ref="N66:N67"/>
    <mergeCell ref="N75:N76"/>
    <mergeCell ref="N85:N89"/>
    <mergeCell ref="N104:N105"/>
    <mergeCell ref="N132:N133"/>
    <mergeCell ref="N139:N141"/>
    <mergeCell ref="N147:N148"/>
    <mergeCell ref="N150:N151"/>
    <mergeCell ref="N152:N153"/>
    <mergeCell ref="N164:N166"/>
    <mergeCell ref="N167:N168"/>
    <mergeCell ref="N176:N179"/>
    <mergeCell ref="O4:O7"/>
    <mergeCell ref="O9:O11"/>
    <mergeCell ref="O14:O20"/>
    <mergeCell ref="O21:O25"/>
    <mergeCell ref="O28:O36"/>
    <mergeCell ref="O39:O45"/>
    <mergeCell ref="O50:O54"/>
    <mergeCell ref="O64:O65"/>
    <mergeCell ref="O66:O67"/>
    <mergeCell ref="O75:O78"/>
    <mergeCell ref="O85:O89"/>
    <mergeCell ref="O97:O98"/>
    <mergeCell ref="O100:O106"/>
    <mergeCell ref="O108:O110"/>
    <mergeCell ref="O132:O133"/>
    <mergeCell ref="O139:O141"/>
    <mergeCell ref="O147:O148"/>
    <mergeCell ref="O150:O153"/>
    <mergeCell ref="O155:O158"/>
    <mergeCell ref="O160:O161"/>
    <mergeCell ref="O164:O168"/>
    <mergeCell ref="O172:O173"/>
    <mergeCell ref="O176:O179"/>
    <mergeCell ref="R4:R7"/>
    <mergeCell ref="R50:R57"/>
    <mergeCell ref="R132:R133"/>
    <mergeCell ref="R164:R168"/>
    <mergeCell ref="R172:R173"/>
    <mergeCell ref="S51:S54"/>
    <mergeCell ref="S55:S57"/>
    <mergeCell ref="S132:S133"/>
    <mergeCell ref="S164:S166"/>
    <mergeCell ref="S167:S168"/>
    <mergeCell ref="T41:T45"/>
    <mergeCell ref="T56:T57"/>
    <mergeCell ref="T97:T98"/>
    <mergeCell ref="U9:U11"/>
    <mergeCell ref="U23:U24"/>
    <mergeCell ref="U31:U37"/>
    <mergeCell ref="U56:U57"/>
    <mergeCell ref="U64:U65"/>
    <mergeCell ref="U66:U67"/>
    <mergeCell ref="U75:U76"/>
    <mergeCell ref="U97:U98"/>
    <mergeCell ref="U103:U104"/>
    <mergeCell ref="U139:U141"/>
    <mergeCell ref="U150:U151"/>
    <mergeCell ref="U152:U153"/>
    <mergeCell ref="U176:U179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2019-12-18T02:42:33Z</dcterms:created>
  <dcterms:modified xsi:type="dcterms:W3CDTF">2019-12-18T02:44:00Z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